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5" yWindow="135" windowWidth="3210" windowHeight="1185" firstSheet="4" activeTab="5"/>
  </bookViews>
  <sheets>
    <sheet name="SKPD EKO" sheetId="23" r:id="rId1"/>
    <sheet name="SKPD PIW" sheetId="22" r:id="rId2"/>
    <sheet name="SKPD SOSBUD" sheetId="16" r:id="rId3"/>
    <sheet name="KECAMATAN" sheetId="20" r:id="rId4"/>
    <sheet name="Sheet1" sheetId="35" r:id="rId5"/>
    <sheet name="BPKAD MATRIK 5" sheetId="36" r:id="rId6"/>
  </sheets>
  <definedNames>
    <definedName name="_xlnm.Print_Area" localSheetId="5">'BPKAD MATRIK 5'!$A$1:$X$83</definedName>
    <definedName name="_xlnm.Print_Area" localSheetId="2">'SKPD SOSBUD'!$B$475:$Y$551</definedName>
    <definedName name="_xlnm.Print_Titles" localSheetId="5">'BPKAD MATRIK 5'!$3:$6</definedName>
    <definedName name="_xlnm.Print_Titles" localSheetId="2">'SKPD SOSBUD'!$475:$477</definedName>
  </definedNames>
  <calcPr calcId="144525"/>
</workbook>
</file>

<file path=xl/calcChain.xml><?xml version="1.0" encoding="utf-8"?>
<calcChain xmlns="http://schemas.openxmlformats.org/spreadsheetml/2006/main">
  <c r="U81" i="36" l="1"/>
  <c r="S81" i="36"/>
  <c r="Q81" i="36"/>
  <c r="O81" i="36"/>
  <c r="M81" i="36"/>
  <c r="K81" i="36"/>
  <c r="U76" i="36"/>
  <c r="S76" i="36"/>
  <c r="Q76" i="36"/>
  <c r="O76" i="36"/>
  <c r="M76" i="36"/>
  <c r="K76" i="36"/>
  <c r="U60" i="36"/>
  <c r="S60" i="36"/>
  <c r="Q60" i="36"/>
  <c r="O60" i="36"/>
  <c r="M60" i="36"/>
  <c r="K60" i="36"/>
  <c r="U59" i="36"/>
  <c r="S59" i="36"/>
  <c r="Q59" i="36"/>
  <c r="O59" i="36"/>
  <c r="M59" i="36"/>
  <c r="K59" i="36"/>
  <c r="U58" i="36"/>
  <c r="S58" i="36"/>
  <c r="Q58" i="36"/>
  <c r="O58" i="36"/>
  <c r="M58" i="36"/>
  <c r="K58" i="36"/>
  <c r="U57" i="36"/>
  <c r="S57" i="36"/>
  <c r="Q57" i="36"/>
  <c r="O57" i="36"/>
  <c r="M57" i="36"/>
  <c r="K57" i="36"/>
  <c r="U53" i="36"/>
  <c r="S53" i="36"/>
  <c r="Q53" i="36"/>
  <c r="O53" i="36"/>
  <c r="M53" i="36"/>
  <c r="K53" i="36"/>
  <c r="U51" i="36"/>
  <c r="S51" i="36"/>
  <c r="Q51" i="36"/>
  <c r="O51" i="36"/>
  <c r="M51" i="36"/>
  <c r="K51" i="36"/>
  <c r="U49" i="36"/>
  <c r="S49" i="36"/>
  <c r="Q49" i="36"/>
  <c r="O49" i="36"/>
  <c r="M49" i="36"/>
  <c r="K49" i="36"/>
  <c r="V23" i="36"/>
  <c r="U23" i="36"/>
  <c r="S23" i="36"/>
  <c r="Q23" i="36"/>
  <c r="O23" i="36"/>
  <c r="M23" i="36"/>
  <c r="K23" i="36"/>
  <c r="U8" i="36"/>
  <c r="S8" i="36"/>
  <c r="S83" i="36" s="1"/>
  <c r="Q8" i="36"/>
  <c r="O8" i="36"/>
  <c r="M8" i="36"/>
  <c r="K8" i="36"/>
  <c r="K83" i="36" s="1"/>
  <c r="V7" i="36"/>
  <c r="V690" i="23"/>
  <c r="T690" i="23"/>
  <c r="R690" i="23"/>
  <c r="R731" i="23" s="1"/>
  <c r="P690" i="23"/>
  <c r="N690" i="23"/>
  <c r="L690" i="23"/>
  <c r="K672" i="23"/>
  <c r="M672" i="23" s="1"/>
  <c r="O672" i="23" s="1"/>
  <c r="Q672" i="23" s="1"/>
  <c r="S672" i="23" s="1"/>
  <c r="U672" i="23" s="1"/>
  <c r="V332" i="23"/>
  <c r="T332" i="23"/>
  <c r="R332" i="23"/>
  <c r="P332" i="23"/>
  <c r="N332" i="23"/>
  <c r="L332" i="23"/>
  <c r="W348" i="23"/>
  <c r="W250" i="23"/>
  <c r="W104" i="23"/>
  <c r="W188" i="22"/>
  <c r="U104" i="22"/>
  <c r="S104" i="22"/>
  <c r="Q104" i="22"/>
  <c r="M104" i="22"/>
  <c r="K104" i="22"/>
  <c r="W881" i="16"/>
  <c r="W852" i="16"/>
  <c r="L854" i="16"/>
  <c r="V378" i="16"/>
  <c r="T378" i="16"/>
  <c r="R378" i="16"/>
  <c r="P378" i="16"/>
  <c r="N378" i="16"/>
  <c r="L378" i="16"/>
  <c r="V195" i="16"/>
  <c r="T195" i="16"/>
  <c r="R195" i="16"/>
  <c r="P195" i="16"/>
  <c r="P328" i="16" s="1"/>
  <c r="N195" i="16"/>
  <c r="L195" i="16"/>
  <c r="W194" i="16"/>
  <c r="J275" i="16"/>
  <c r="L275" i="16"/>
  <c r="N275" i="16"/>
  <c r="P275" i="16"/>
  <c r="R275" i="16"/>
  <c r="L279" i="16"/>
  <c r="N279" i="16"/>
  <c r="P279" i="16"/>
  <c r="R279" i="16"/>
  <c r="W137" i="16"/>
  <c r="L116" i="16"/>
  <c r="N116" i="16"/>
  <c r="P116" i="16"/>
  <c r="R116" i="16"/>
  <c r="F41" i="35"/>
  <c r="G41" i="35" s="1"/>
  <c r="H41" i="35" s="1"/>
  <c r="I41" i="35" s="1"/>
  <c r="F40" i="35"/>
  <c r="G40" i="35" s="1"/>
  <c r="H40" i="35" s="1"/>
  <c r="I40" i="35" s="1"/>
  <c r="F39" i="35"/>
  <c r="G39" i="35" s="1"/>
  <c r="H39" i="35" s="1"/>
  <c r="I39" i="35" s="1"/>
  <c r="F38" i="35"/>
  <c r="G38" i="35" s="1"/>
  <c r="H38" i="35" s="1"/>
  <c r="I38" i="35" s="1"/>
  <c r="F37" i="35"/>
  <c r="G37" i="35" s="1"/>
  <c r="H37" i="35" s="1"/>
  <c r="I37" i="35" s="1"/>
  <c r="F36" i="35"/>
  <c r="G36" i="35" s="1"/>
  <c r="H36" i="35" s="1"/>
  <c r="I36" i="35" s="1"/>
  <c r="F35" i="35"/>
  <c r="G35" i="35" s="1"/>
  <c r="H35" i="35" s="1"/>
  <c r="I35" i="35" s="1"/>
  <c r="F34" i="35"/>
  <c r="G34" i="35" s="1"/>
  <c r="H34" i="35" s="1"/>
  <c r="I34" i="35" s="1"/>
  <c r="F33" i="35"/>
  <c r="G33" i="35"/>
  <c r="H33" i="35" s="1"/>
  <c r="I33" i="35" s="1"/>
  <c r="F32" i="35"/>
  <c r="G32" i="35" s="1"/>
  <c r="H32" i="35" s="1"/>
  <c r="I32" i="35" s="1"/>
  <c r="F31" i="35"/>
  <c r="G31" i="35" s="1"/>
  <c r="H31" i="35" s="1"/>
  <c r="I31" i="35" s="1"/>
  <c r="F30" i="35"/>
  <c r="G30" i="35" s="1"/>
  <c r="H30" i="35" s="1"/>
  <c r="I30" i="35" s="1"/>
  <c r="F29" i="35"/>
  <c r="G29" i="35" s="1"/>
  <c r="H29" i="35" s="1"/>
  <c r="I29" i="35" s="1"/>
  <c r="F28" i="35"/>
  <c r="G28" i="35" s="1"/>
  <c r="H28" i="35" s="1"/>
  <c r="I28" i="35" s="1"/>
  <c r="F27" i="35"/>
  <c r="G27" i="35" s="1"/>
  <c r="H27" i="35" s="1"/>
  <c r="I27" i="35" s="1"/>
  <c r="F26" i="35"/>
  <c r="G26" i="35" s="1"/>
  <c r="H26" i="35" s="1"/>
  <c r="I26" i="35" s="1"/>
  <c r="F25" i="35"/>
  <c r="G25" i="35" s="1"/>
  <c r="H25" i="35" s="1"/>
  <c r="I25" i="35" s="1"/>
  <c r="F24" i="35"/>
  <c r="G24" i="35" s="1"/>
  <c r="H24" i="35" s="1"/>
  <c r="I24" i="35" s="1"/>
  <c r="F23" i="35"/>
  <c r="G23" i="35" s="1"/>
  <c r="H23" i="35" s="1"/>
  <c r="I23" i="35" s="1"/>
  <c r="F22" i="35"/>
  <c r="G22" i="35" s="1"/>
  <c r="H22" i="35" s="1"/>
  <c r="I22" i="35" s="1"/>
  <c r="F21" i="35"/>
  <c r="G21" i="35" s="1"/>
  <c r="H21" i="35" s="1"/>
  <c r="I21" i="35" s="1"/>
  <c r="F20" i="35"/>
  <c r="G20" i="35" s="1"/>
  <c r="H20" i="35" s="1"/>
  <c r="I20" i="35" s="1"/>
  <c r="F19" i="35"/>
  <c r="G19" i="35" s="1"/>
  <c r="H19" i="35" s="1"/>
  <c r="I19" i="35" s="1"/>
  <c r="F18" i="35"/>
  <c r="G18" i="35" s="1"/>
  <c r="H18" i="35" s="1"/>
  <c r="I18" i="35" s="1"/>
  <c r="F17" i="35"/>
  <c r="G17" i="35" s="1"/>
  <c r="H17" i="35" s="1"/>
  <c r="I17" i="35" s="1"/>
  <c r="F16" i="35"/>
  <c r="G16" i="35" s="1"/>
  <c r="H16" i="35" s="1"/>
  <c r="I16" i="35" s="1"/>
  <c r="F15" i="35"/>
  <c r="G15" i="35"/>
  <c r="H15" i="35" s="1"/>
  <c r="I15" i="35" s="1"/>
  <c r="F14" i="35"/>
  <c r="G14" i="35" s="1"/>
  <c r="H14" i="35" s="1"/>
  <c r="I14" i="35" s="1"/>
  <c r="F13" i="35"/>
  <c r="G13" i="35" s="1"/>
  <c r="H13" i="35" s="1"/>
  <c r="I13" i="35" s="1"/>
  <c r="F12" i="35"/>
  <c r="G12" i="35" s="1"/>
  <c r="H12" i="35" s="1"/>
  <c r="I12" i="35" s="1"/>
  <c r="F11" i="35"/>
  <c r="G11" i="35" s="1"/>
  <c r="H11" i="35" s="1"/>
  <c r="I11" i="35" s="1"/>
  <c r="F10" i="35"/>
  <c r="G10" i="35" s="1"/>
  <c r="H10" i="35" s="1"/>
  <c r="I10" i="35" s="1"/>
  <c r="F9" i="35"/>
  <c r="G9" i="35" s="1"/>
  <c r="H9" i="35" s="1"/>
  <c r="I9" i="35" s="1"/>
  <c r="F8" i="35"/>
  <c r="G8" i="35" s="1"/>
  <c r="H8" i="35" s="1"/>
  <c r="I8" i="35" s="1"/>
  <c r="F7" i="35"/>
  <c r="G7" i="35" s="1"/>
  <c r="H7" i="35" s="1"/>
  <c r="I7" i="35" s="1"/>
  <c r="F6" i="35"/>
  <c r="G6" i="35" s="1"/>
  <c r="H6" i="35" s="1"/>
  <c r="I6" i="35" s="1"/>
  <c r="U342" i="22"/>
  <c r="S342" i="22"/>
  <c r="Q342" i="22"/>
  <c r="O342" i="22"/>
  <c r="M342" i="22"/>
  <c r="K342" i="22"/>
  <c r="W343" i="22"/>
  <c r="W342" i="22" s="1"/>
  <c r="J342" i="22"/>
  <c r="W1120" i="16"/>
  <c r="W1148" i="16"/>
  <c r="V994" i="16"/>
  <c r="T994" i="16"/>
  <c r="R994" i="16"/>
  <c r="P994" i="16"/>
  <c r="N994" i="16"/>
  <c r="L994" i="16"/>
  <c r="V979" i="16"/>
  <c r="T979" i="16"/>
  <c r="R979" i="16"/>
  <c r="P979" i="16"/>
  <c r="N979" i="16"/>
  <c r="L979" i="16"/>
  <c r="V987" i="16"/>
  <c r="T987" i="16"/>
  <c r="R987" i="16"/>
  <c r="P987" i="16"/>
  <c r="N987" i="16"/>
  <c r="L987" i="16"/>
  <c r="N810" i="23"/>
  <c r="L429" i="23"/>
  <c r="L430" i="23"/>
  <c r="L388" i="23"/>
  <c r="L389" i="23"/>
  <c r="W437" i="23"/>
  <c r="W436" i="23"/>
  <c r="W435" i="23"/>
  <c r="W434" i="23"/>
  <c r="W433" i="23"/>
  <c r="W432" i="23"/>
  <c r="W431" i="23"/>
  <c r="W430" i="23"/>
  <c r="W429" i="23"/>
  <c r="W454" i="23"/>
  <c r="W453" i="23"/>
  <c r="W452" i="23"/>
  <c r="L452" i="23"/>
  <c r="W440" i="23"/>
  <c r="W439" i="23"/>
  <c r="V438" i="23"/>
  <c r="U438" i="23"/>
  <c r="T438" i="23"/>
  <c r="S438" i="23"/>
  <c r="R438" i="23"/>
  <c r="Q438" i="23"/>
  <c r="P438" i="23"/>
  <c r="O438" i="23"/>
  <c r="N438" i="23"/>
  <c r="M438" i="23"/>
  <c r="L438" i="23"/>
  <c r="W426" i="23"/>
  <c r="W425" i="23"/>
  <c r="V425" i="23"/>
  <c r="T425" i="23"/>
  <c r="R425" i="23"/>
  <c r="P425" i="23"/>
  <c r="N425" i="23"/>
  <c r="L425" i="23"/>
  <c r="W424" i="23"/>
  <c r="W423" i="23"/>
  <c r="W422" i="23"/>
  <c r="W421" i="23"/>
  <c r="W420" i="23"/>
  <c r="W419" i="23"/>
  <c r="W418" i="23"/>
  <c r="V417" i="23"/>
  <c r="T417" i="23"/>
  <c r="R417" i="23"/>
  <c r="P417" i="23"/>
  <c r="N417" i="23"/>
  <c r="L417" i="23"/>
  <c r="W416" i="23"/>
  <c r="W415" i="23"/>
  <c r="W414" i="23"/>
  <c r="W413" i="23"/>
  <c r="W412" i="23"/>
  <c r="W411" i="23"/>
  <c r="W410" i="23"/>
  <c r="W409" i="23"/>
  <c r="W408" i="23"/>
  <c r="W407" i="23"/>
  <c r="W406" i="23"/>
  <c r="W405" i="23"/>
  <c r="W404" i="23"/>
  <c r="W403" i="23"/>
  <c r="W402" i="23"/>
  <c r="W401" i="23"/>
  <c r="W400" i="23"/>
  <c r="W399" i="23"/>
  <c r="W398" i="23"/>
  <c r="W396" i="23"/>
  <c r="W395" i="23"/>
  <c r="W394" i="23"/>
  <c r="W393" i="23"/>
  <c r="W392" i="23"/>
  <c r="W391" i="23"/>
  <c r="W390" i="23"/>
  <c r="W389" i="23"/>
  <c r="V389" i="23"/>
  <c r="T389" i="23"/>
  <c r="R389" i="23"/>
  <c r="P389" i="23"/>
  <c r="N389" i="23"/>
  <c r="V388" i="23"/>
  <c r="T388" i="23"/>
  <c r="R388" i="23"/>
  <c r="P388" i="23"/>
  <c r="N388" i="23"/>
  <c r="W265" i="16"/>
  <c r="W264" i="16"/>
  <c r="W263" i="16"/>
  <c r="W262" i="16"/>
  <c r="W261" i="16"/>
  <c r="W260" i="16"/>
  <c r="W259" i="16"/>
  <c r="W258" i="16"/>
  <c r="W257" i="16"/>
  <c r="W256" i="16"/>
  <c r="W255" i="16"/>
  <c r="W254" i="16"/>
  <c r="W265" i="23"/>
  <c r="W264" i="23"/>
  <c r="W263" i="23"/>
  <c r="W261" i="23"/>
  <c r="W260" i="23"/>
  <c r="W259" i="23"/>
  <c r="W258" i="23"/>
  <c r="W257" i="23"/>
  <c r="W256" i="23"/>
  <c r="W255" i="23"/>
  <c r="W254" i="23"/>
  <c r="T262" i="23"/>
  <c r="W248" i="23"/>
  <c r="M244" i="23"/>
  <c r="W244" i="23" s="1"/>
  <c r="W246" i="23"/>
  <c r="W243" i="23"/>
  <c r="W242" i="23"/>
  <c r="W241" i="23"/>
  <c r="W240" i="23"/>
  <c r="W239" i="23"/>
  <c r="W237" i="23"/>
  <c r="W236" i="23"/>
  <c r="W235" i="23"/>
  <c r="W234" i="23"/>
  <c r="V234" i="23"/>
  <c r="T234" i="23"/>
  <c r="R234" i="23"/>
  <c r="P234" i="23"/>
  <c r="N234" i="23"/>
  <c r="L234" i="23"/>
  <c r="W228" i="23"/>
  <c r="W227" i="23"/>
  <c r="W226" i="23"/>
  <c r="W225" i="23"/>
  <c r="V225" i="23"/>
  <c r="W222" i="23"/>
  <c r="W221" i="23"/>
  <c r="W220" i="23"/>
  <c r="W219" i="23"/>
  <c r="W218" i="23"/>
  <c r="W217" i="23"/>
  <c r="V549" i="16"/>
  <c r="T549" i="16"/>
  <c r="R549" i="16"/>
  <c r="P549" i="16"/>
  <c r="N549" i="16"/>
  <c r="L549" i="16"/>
  <c r="V543" i="16"/>
  <c r="T543" i="16"/>
  <c r="R543" i="16"/>
  <c r="P543" i="16"/>
  <c r="N543" i="16"/>
  <c r="L543" i="16"/>
  <c r="V541" i="16"/>
  <c r="T541" i="16"/>
  <c r="R541" i="16"/>
  <c r="P541" i="16"/>
  <c r="N541" i="16"/>
  <c r="L541" i="16"/>
  <c r="V537" i="16"/>
  <c r="T537" i="16"/>
  <c r="R537" i="16"/>
  <c r="P537" i="16"/>
  <c r="N537" i="16"/>
  <c r="L537" i="16"/>
  <c r="V535" i="16"/>
  <c r="T535" i="16"/>
  <c r="R535" i="16"/>
  <c r="P535" i="16"/>
  <c r="N535" i="16"/>
  <c r="L535" i="16"/>
  <c r="V532" i="16"/>
  <c r="T532" i="16"/>
  <c r="R532" i="16"/>
  <c r="P532" i="16"/>
  <c r="N532" i="16"/>
  <c r="L532" i="16"/>
  <c r="V528" i="16"/>
  <c r="T528" i="16"/>
  <c r="R528" i="16"/>
  <c r="P528" i="16"/>
  <c r="N528" i="16"/>
  <c r="L528" i="16"/>
  <c r="V516" i="16"/>
  <c r="T516" i="16"/>
  <c r="R516" i="16"/>
  <c r="P516" i="16"/>
  <c r="N516" i="16"/>
  <c r="L516" i="16"/>
  <c r="V512" i="16"/>
  <c r="T512" i="16"/>
  <c r="R512" i="16"/>
  <c r="P512" i="16"/>
  <c r="N512" i="16"/>
  <c r="L512" i="16"/>
  <c r="V509" i="16"/>
  <c r="T509" i="16"/>
  <c r="R509" i="16"/>
  <c r="P509" i="16"/>
  <c r="N509" i="16"/>
  <c r="L509" i="16"/>
  <c r="V502" i="16"/>
  <c r="T502" i="16"/>
  <c r="R502" i="16"/>
  <c r="P502" i="16"/>
  <c r="N502" i="16"/>
  <c r="L502" i="16"/>
  <c r="V488" i="16"/>
  <c r="T488" i="16"/>
  <c r="R488" i="16"/>
  <c r="P488" i="16"/>
  <c r="N488" i="16"/>
  <c r="L488" i="16"/>
  <c r="V484" i="16"/>
  <c r="T484" i="16"/>
  <c r="R484" i="16"/>
  <c r="P484" i="16"/>
  <c r="N484" i="16"/>
  <c r="L484" i="16"/>
  <c r="V479" i="16"/>
  <c r="V478" i="16" s="1"/>
  <c r="T479" i="16"/>
  <c r="T478" i="16" s="1"/>
  <c r="T551" i="16" s="1"/>
  <c r="R479" i="16"/>
  <c r="R478" i="16" s="1"/>
  <c r="P479" i="16"/>
  <c r="P478" i="16" s="1"/>
  <c r="N479" i="16"/>
  <c r="N478" i="16" s="1"/>
  <c r="L479" i="16"/>
  <c r="L478" i="16" s="1"/>
  <c r="L165" i="16"/>
  <c r="P174" i="16"/>
  <c r="R174" i="16" s="1"/>
  <c r="N173" i="16"/>
  <c r="N165" i="16" s="1"/>
  <c r="P170" i="16"/>
  <c r="N150" i="16"/>
  <c r="P150" i="16" s="1"/>
  <c r="R150" i="16" s="1"/>
  <c r="T150" i="16" s="1"/>
  <c r="V150" i="16" s="1"/>
  <c r="N149" i="16"/>
  <c r="P149" i="16" s="1"/>
  <c r="L72" i="16"/>
  <c r="L89" i="16"/>
  <c r="W86" i="16"/>
  <c r="W85" i="16"/>
  <c r="V15" i="16"/>
  <c r="T15" i="16"/>
  <c r="R15" i="16"/>
  <c r="P15" i="16"/>
  <c r="N15" i="16"/>
  <c r="L15" i="16"/>
  <c r="T116" i="16"/>
  <c r="V116" i="16"/>
  <c r="W116" i="16"/>
  <c r="P453" i="16"/>
  <c r="N453" i="16"/>
  <c r="P451" i="16"/>
  <c r="N451" i="16"/>
  <c r="P449" i="16"/>
  <c r="N449" i="16"/>
  <c r="P446" i="16"/>
  <c r="N446" i="16"/>
  <c r="G912" i="20"/>
  <c r="Q1538" i="20"/>
  <c r="P1538" i="20"/>
  <c r="O1538" i="20"/>
  <c r="N1538" i="20"/>
  <c r="R1538" i="20" s="1"/>
  <c r="M1538" i="20"/>
  <c r="L1538" i="20"/>
  <c r="K1538" i="20"/>
  <c r="J1538" i="20"/>
  <c r="I1538" i="20"/>
  <c r="H1538" i="20"/>
  <c r="G1538" i="20"/>
  <c r="F1538" i="20"/>
  <c r="Q1536" i="20"/>
  <c r="P1536" i="20"/>
  <c r="O1536" i="20"/>
  <c r="N1536" i="20"/>
  <c r="M1536" i="20"/>
  <c r="I1536" i="20"/>
  <c r="G1536" i="20"/>
  <c r="F1536" i="20"/>
  <c r="Q1534" i="20"/>
  <c r="P1534" i="20"/>
  <c r="O1534" i="20"/>
  <c r="N1534" i="20"/>
  <c r="M1534" i="20"/>
  <c r="L1534" i="20"/>
  <c r="K1534" i="20"/>
  <c r="J1534" i="20"/>
  <c r="I1534" i="20"/>
  <c r="H1534" i="20"/>
  <c r="G1534" i="20"/>
  <c r="F1534" i="20"/>
  <c r="R1534" i="20" s="1"/>
  <c r="Q1532" i="20"/>
  <c r="Q1531" i="20"/>
  <c r="P1532" i="20"/>
  <c r="O1532" i="20"/>
  <c r="O1531" i="20" s="1"/>
  <c r="N1532" i="20"/>
  <c r="M1532" i="20"/>
  <c r="M1531" i="20" s="1"/>
  <c r="L1532" i="20"/>
  <c r="K1532" i="20"/>
  <c r="K1531" i="20" s="1"/>
  <c r="J1532" i="20"/>
  <c r="I1532" i="20"/>
  <c r="I1531" i="20" s="1"/>
  <c r="H1532" i="20"/>
  <c r="G1532" i="20"/>
  <c r="G1531" i="20" s="1"/>
  <c r="F1532" i="20"/>
  <c r="R1531" i="20"/>
  <c r="Q1529" i="20"/>
  <c r="Q1542" i="20" s="1"/>
  <c r="O1529" i="20"/>
  <c r="M1529" i="20"/>
  <c r="K1529" i="20"/>
  <c r="I1529" i="20"/>
  <c r="G1529" i="20"/>
  <c r="Q1526" i="20"/>
  <c r="O1526" i="20"/>
  <c r="M1526" i="20"/>
  <c r="M1542" i="20" s="1"/>
  <c r="K1526" i="20"/>
  <c r="I1526" i="20"/>
  <c r="G1526" i="20"/>
  <c r="Q1524" i="20"/>
  <c r="O1524" i="20"/>
  <c r="M1524" i="20"/>
  <c r="K1524" i="20"/>
  <c r="I1524" i="20"/>
  <c r="G1524" i="20"/>
  <c r="Q1522" i="20"/>
  <c r="O1522" i="20"/>
  <c r="M1522" i="20"/>
  <c r="K1522" i="20"/>
  <c r="I1522" i="20"/>
  <c r="G1522" i="20"/>
  <c r="I1520" i="20"/>
  <c r="G1520" i="20"/>
  <c r="Q1518" i="20"/>
  <c r="P1518" i="20"/>
  <c r="O1518" i="20"/>
  <c r="N1518" i="20"/>
  <c r="M1518" i="20"/>
  <c r="L1518" i="20"/>
  <c r="K1518" i="20"/>
  <c r="J1518" i="20"/>
  <c r="I1518" i="20"/>
  <c r="H1518" i="20"/>
  <c r="G1518" i="20"/>
  <c r="F1518" i="20"/>
  <c r="Q1510" i="20"/>
  <c r="O1510" i="20"/>
  <c r="M1510" i="20"/>
  <c r="K1510" i="20"/>
  <c r="I1510" i="20"/>
  <c r="G1510" i="20"/>
  <c r="Q1495" i="20"/>
  <c r="O1495" i="20"/>
  <c r="M1495" i="20"/>
  <c r="K1495" i="20"/>
  <c r="I1495" i="20"/>
  <c r="G1495" i="20"/>
  <c r="Q1489" i="20"/>
  <c r="P1489" i="20"/>
  <c r="O1489" i="20"/>
  <c r="O1491" i="20" s="1"/>
  <c r="N1489" i="20"/>
  <c r="M1489" i="20"/>
  <c r="L1489" i="20"/>
  <c r="K1489" i="20"/>
  <c r="J1489" i="20"/>
  <c r="I1489" i="20"/>
  <c r="H1489" i="20"/>
  <c r="G1489" i="20"/>
  <c r="F1489" i="20"/>
  <c r="R1487" i="20"/>
  <c r="Q1487" i="20"/>
  <c r="O1487" i="20"/>
  <c r="M1487" i="20"/>
  <c r="K1487" i="20"/>
  <c r="I1487" i="20"/>
  <c r="Q1485" i="20"/>
  <c r="Q1491" i="20" s="1"/>
  <c r="P1485" i="20"/>
  <c r="O1485" i="20"/>
  <c r="N1485" i="20"/>
  <c r="M1485" i="20"/>
  <c r="M1491" i="20" s="1"/>
  <c r="L1485" i="20"/>
  <c r="K1485" i="20"/>
  <c r="J1485" i="20"/>
  <c r="I1485" i="20"/>
  <c r="H1485" i="20"/>
  <c r="G1485" i="20"/>
  <c r="F1485" i="20"/>
  <c r="R1483" i="20"/>
  <c r="Q1483" i="20"/>
  <c r="O1483" i="20"/>
  <c r="M1483" i="20"/>
  <c r="K1483" i="20"/>
  <c r="I1483" i="20"/>
  <c r="G1483" i="20"/>
  <c r="R1480" i="20"/>
  <c r="Q1480" i="20"/>
  <c r="O1480" i="20"/>
  <c r="M1480" i="20"/>
  <c r="K1480" i="20"/>
  <c r="I1480" i="20"/>
  <c r="G1480" i="20"/>
  <c r="R1478" i="20"/>
  <c r="Q1478" i="20"/>
  <c r="O1478" i="20"/>
  <c r="M1478" i="20"/>
  <c r="K1478" i="20"/>
  <c r="I1478" i="20"/>
  <c r="G1478" i="20"/>
  <c r="Q1475" i="20"/>
  <c r="O1475" i="20"/>
  <c r="M1475" i="20"/>
  <c r="K1475" i="20"/>
  <c r="I1475" i="20"/>
  <c r="G1475" i="20"/>
  <c r="Q1473" i="20"/>
  <c r="O1473" i="20"/>
  <c r="M1473" i="20"/>
  <c r="K1473" i="20"/>
  <c r="I1473" i="20"/>
  <c r="G1473" i="20"/>
  <c r="R1470" i="20"/>
  <c r="R1469" i="20"/>
  <c r="Q1469" i="20"/>
  <c r="O1469" i="20"/>
  <c r="M1469" i="20"/>
  <c r="K1469" i="20"/>
  <c r="I1469" i="20"/>
  <c r="G1469" i="20"/>
  <c r="Q1467" i="20"/>
  <c r="P1467" i="20"/>
  <c r="O1467" i="20"/>
  <c r="N1467" i="20"/>
  <c r="M1467" i="20"/>
  <c r="L1467" i="20"/>
  <c r="K1467" i="20"/>
  <c r="J1467" i="20"/>
  <c r="I1467" i="20"/>
  <c r="H1467" i="20"/>
  <c r="G1467" i="20"/>
  <c r="Q1465" i="20"/>
  <c r="P1465" i="20"/>
  <c r="O1465" i="20"/>
  <c r="N1465" i="20"/>
  <c r="M1465" i="20"/>
  <c r="L1465" i="20"/>
  <c r="K1465" i="20"/>
  <c r="J1465" i="20"/>
  <c r="I1465" i="20"/>
  <c r="H1465" i="20"/>
  <c r="G1465" i="20"/>
  <c r="F1465" i="20"/>
  <c r="R1457" i="20"/>
  <c r="Q1457" i="20"/>
  <c r="O1457" i="20"/>
  <c r="M1457" i="20"/>
  <c r="K1457" i="20"/>
  <c r="I1457" i="20"/>
  <c r="G1457" i="20"/>
  <c r="Q1443" i="20"/>
  <c r="O1443" i="20"/>
  <c r="M1443" i="20"/>
  <c r="K1443" i="20"/>
  <c r="I1443" i="20"/>
  <c r="G1443" i="20"/>
  <c r="Q1437" i="20"/>
  <c r="P1437" i="20"/>
  <c r="O1437" i="20"/>
  <c r="N1437" i="20"/>
  <c r="R1437" i="20" s="1"/>
  <c r="M1437" i="20"/>
  <c r="L1437" i="20"/>
  <c r="K1437" i="20"/>
  <c r="J1437" i="20"/>
  <c r="I1437" i="20"/>
  <c r="H1437" i="20"/>
  <c r="G1437" i="20"/>
  <c r="F1437" i="20"/>
  <c r="R1435" i="20"/>
  <c r="Q1435" i="20"/>
  <c r="O1435" i="20"/>
  <c r="M1435" i="20"/>
  <c r="M1439" i="20" s="1"/>
  <c r="K1435" i="20"/>
  <c r="I1435" i="20"/>
  <c r="G1435" i="20"/>
  <c r="Q1433" i="20"/>
  <c r="P1433" i="20"/>
  <c r="O1433" i="20"/>
  <c r="N1433" i="20"/>
  <c r="M1433" i="20"/>
  <c r="L1433" i="20"/>
  <c r="K1433" i="20"/>
  <c r="J1433" i="20"/>
  <c r="I1433" i="20"/>
  <c r="H1433" i="20"/>
  <c r="G1433" i="20"/>
  <c r="F1433" i="20"/>
  <c r="R1431" i="20"/>
  <c r="Q1431" i="20"/>
  <c r="O1431" i="20"/>
  <c r="M1431" i="20"/>
  <c r="K1431" i="20"/>
  <c r="K1439" i="20" s="1"/>
  <c r="I1431" i="20"/>
  <c r="G1431" i="20"/>
  <c r="R1428" i="20"/>
  <c r="Q1428" i="20"/>
  <c r="O1428" i="20"/>
  <c r="M1428" i="20"/>
  <c r="K1428" i="20"/>
  <c r="I1428" i="20"/>
  <c r="G1428" i="20"/>
  <c r="R1426" i="20"/>
  <c r="Q1426" i="20"/>
  <c r="O1426" i="20"/>
  <c r="O1439" i="20" s="1"/>
  <c r="M1426" i="20"/>
  <c r="K1426" i="20"/>
  <c r="I1426" i="20"/>
  <c r="G1426" i="20"/>
  <c r="G1439" i="20" s="1"/>
  <c r="Q1423" i="20"/>
  <c r="O1423" i="20"/>
  <c r="M1423" i="20"/>
  <c r="K1423" i="20"/>
  <c r="I1423" i="20"/>
  <c r="G1423" i="20"/>
  <c r="Q1421" i="20"/>
  <c r="O1421" i="20"/>
  <c r="M1421" i="20"/>
  <c r="K1421" i="20"/>
  <c r="I1421" i="20"/>
  <c r="G1421" i="20"/>
  <c r="R1418" i="20"/>
  <c r="R1417" i="20"/>
  <c r="Q1417" i="20"/>
  <c r="O1417" i="20"/>
  <c r="M1417" i="20"/>
  <c r="K1417" i="20"/>
  <c r="I1417" i="20"/>
  <c r="G1417" i="20"/>
  <c r="Q1415" i="20"/>
  <c r="P1415" i="20"/>
  <c r="O1415" i="20"/>
  <c r="N1415" i="20"/>
  <c r="M1415" i="20"/>
  <c r="L1415" i="20"/>
  <c r="K1415" i="20"/>
  <c r="J1415" i="20"/>
  <c r="R1415" i="20" s="1"/>
  <c r="I1415" i="20"/>
  <c r="H1415" i="20"/>
  <c r="G1415" i="20"/>
  <c r="Q1413" i="20"/>
  <c r="P1413" i="20"/>
  <c r="O1413" i="20"/>
  <c r="N1413" i="20"/>
  <c r="M1413" i="20"/>
  <c r="L1413" i="20"/>
  <c r="K1413" i="20"/>
  <c r="J1413" i="20"/>
  <c r="I1413" i="20"/>
  <c r="H1413" i="20"/>
  <c r="G1413" i="20"/>
  <c r="F1413" i="20"/>
  <c r="R1399" i="20"/>
  <c r="Q1399" i="20"/>
  <c r="O1399" i="20"/>
  <c r="M1399" i="20"/>
  <c r="K1399" i="20"/>
  <c r="I1399" i="20"/>
  <c r="G1399" i="20"/>
  <c r="Q1385" i="20"/>
  <c r="O1385" i="20"/>
  <c r="M1385" i="20"/>
  <c r="K1385" i="20"/>
  <c r="I1385" i="20"/>
  <c r="G1385" i="20"/>
  <c r="Q1379" i="20"/>
  <c r="P1379" i="20"/>
  <c r="O1379" i="20"/>
  <c r="N1379" i="20"/>
  <c r="M1379" i="20"/>
  <c r="L1379" i="20"/>
  <c r="K1379" i="20"/>
  <c r="J1379" i="20"/>
  <c r="I1379" i="20"/>
  <c r="H1379" i="20"/>
  <c r="G1379" i="20"/>
  <c r="F1379" i="20"/>
  <c r="R1377" i="20"/>
  <c r="Q1377" i="20"/>
  <c r="O1377" i="20"/>
  <c r="M1377" i="20"/>
  <c r="K1377" i="20"/>
  <c r="I1377" i="20"/>
  <c r="G1377" i="20"/>
  <c r="Q1375" i="20"/>
  <c r="Q1381" i="20" s="1"/>
  <c r="P1375" i="20"/>
  <c r="O1375" i="20"/>
  <c r="N1375" i="20"/>
  <c r="M1375" i="20"/>
  <c r="L1375" i="20"/>
  <c r="K1375" i="20"/>
  <c r="J1375" i="20"/>
  <c r="I1375" i="20"/>
  <c r="I1381" i="20" s="1"/>
  <c r="H1375" i="20"/>
  <c r="G1375" i="20"/>
  <c r="F1375" i="20"/>
  <c r="R1371" i="20"/>
  <c r="Q1371" i="20"/>
  <c r="O1371" i="20"/>
  <c r="M1371" i="20"/>
  <c r="K1371" i="20"/>
  <c r="I1371" i="20"/>
  <c r="G1371" i="20"/>
  <c r="R1368" i="20"/>
  <c r="Q1368" i="20"/>
  <c r="O1368" i="20"/>
  <c r="M1368" i="20"/>
  <c r="K1368" i="20"/>
  <c r="I1368" i="20"/>
  <c r="G1368" i="20"/>
  <c r="R1365" i="20"/>
  <c r="Q1365" i="20"/>
  <c r="O1365" i="20"/>
  <c r="M1365" i="20"/>
  <c r="K1365" i="20"/>
  <c r="I1365" i="20"/>
  <c r="G1365" i="20"/>
  <c r="G1381" i="20" s="1"/>
  <c r="Q1363" i="20"/>
  <c r="O1363" i="20"/>
  <c r="M1363" i="20"/>
  <c r="K1363" i="20"/>
  <c r="I1363" i="20"/>
  <c r="G1363" i="20"/>
  <c r="Q1360" i="20"/>
  <c r="O1360" i="20"/>
  <c r="M1360" i="20"/>
  <c r="K1360" i="20"/>
  <c r="I1360" i="20"/>
  <c r="G1360" i="20"/>
  <c r="Q1358" i="20"/>
  <c r="O1358" i="20"/>
  <c r="M1358" i="20"/>
  <c r="K1358" i="20"/>
  <c r="I1358" i="20"/>
  <c r="G1358" i="20"/>
  <c r="R1355" i="20"/>
  <c r="R1354" i="20"/>
  <c r="Q1354" i="20"/>
  <c r="O1354" i="20"/>
  <c r="M1354" i="20"/>
  <c r="K1354" i="20"/>
  <c r="I1354" i="20"/>
  <c r="G1354" i="20"/>
  <c r="Q1352" i="20"/>
  <c r="P1352" i="20"/>
  <c r="O1352" i="20"/>
  <c r="N1352" i="20"/>
  <c r="M1352" i="20"/>
  <c r="L1352" i="20"/>
  <c r="K1352" i="20"/>
  <c r="J1352" i="20"/>
  <c r="I1352" i="20"/>
  <c r="H1352" i="20"/>
  <c r="R1352" i="20" s="1"/>
  <c r="G1352" i="20"/>
  <c r="Q1350" i="20"/>
  <c r="P1350" i="20"/>
  <c r="O1350" i="20"/>
  <c r="N1350" i="20"/>
  <c r="M1350" i="20"/>
  <c r="L1350" i="20"/>
  <c r="K1350" i="20"/>
  <c r="J1350" i="20"/>
  <c r="I1350" i="20"/>
  <c r="H1350" i="20"/>
  <c r="G1350" i="20"/>
  <c r="F1350" i="20"/>
  <c r="R1342" i="20"/>
  <c r="Q1342" i="20"/>
  <c r="O1342" i="20"/>
  <c r="M1342" i="20"/>
  <c r="K1342" i="20"/>
  <c r="I1342" i="20"/>
  <c r="G1342" i="20"/>
  <c r="K1339" i="20"/>
  <c r="K1327" i="20" s="1"/>
  <c r="Q1327" i="20"/>
  <c r="O1327" i="20"/>
  <c r="M1327" i="20"/>
  <c r="I1327" i="20"/>
  <c r="G1327" i="20"/>
  <c r="R1320" i="20"/>
  <c r="R1318" i="20"/>
  <c r="Q1318" i="20"/>
  <c r="O1318" i="20"/>
  <c r="M1318" i="20"/>
  <c r="K1318" i="20"/>
  <c r="J1323" i="20" s="1"/>
  <c r="I1318" i="20"/>
  <c r="G1318" i="20"/>
  <c r="Q1316" i="20"/>
  <c r="P1316" i="20"/>
  <c r="O1316" i="20"/>
  <c r="N1316" i="20"/>
  <c r="M1316" i="20"/>
  <c r="L1316" i="20"/>
  <c r="J1316" i="20"/>
  <c r="H1316" i="20"/>
  <c r="F1316" i="20"/>
  <c r="R1314" i="20"/>
  <c r="R1311" i="20"/>
  <c r="R1309" i="20"/>
  <c r="Q1309" i="20"/>
  <c r="O1309" i="20"/>
  <c r="M1309" i="20"/>
  <c r="K1309" i="20"/>
  <c r="I1309" i="20"/>
  <c r="G1309" i="20"/>
  <c r="G1323" i="20" s="1"/>
  <c r="Q1304" i="20"/>
  <c r="O1304" i="20"/>
  <c r="M1304" i="20"/>
  <c r="K1304" i="20"/>
  <c r="I1304" i="20"/>
  <c r="G1304" i="20"/>
  <c r="R1301" i="20"/>
  <c r="R1300" i="20"/>
  <c r="Q1300" i="20"/>
  <c r="O1300" i="20"/>
  <c r="M1300" i="20"/>
  <c r="K1300" i="20"/>
  <c r="I1300" i="20"/>
  <c r="G1300" i="20"/>
  <c r="P1298" i="20"/>
  <c r="N1298" i="20"/>
  <c r="R1298" i="20" s="1"/>
  <c r="L1298" i="20"/>
  <c r="J1298" i="20"/>
  <c r="H1298" i="20"/>
  <c r="Q1296" i="20"/>
  <c r="P1323" i="20" s="1"/>
  <c r="P1296" i="20"/>
  <c r="O1296" i="20"/>
  <c r="N1296" i="20"/>
  <c r="M1296" i="20"/>
  <c r="L1323" i="20" s="1"/>
  <c r="L1296" i="20"/>
  <c r="K1296" i="20"/>
  <c r="J1296" i="20"/>
  <c r="H1296" i="20"/>
  <c r="R1296" i="20" s="1"/>
  <c r="F1296" i="20"/>
  <c r="R1288" i="20"/>
  <c r="Q1288" i="20"/>
  <c r="O1288" i="20"/>
  <c r="M1288" i="20"/>
  <c r="K1288" i="20"/>
  <c r="I1288" i="20"/>
  <c r="G1288" i="20"/>
  <c r="Q1274" i="20"/>
  <c r="O1274" i="20"/>
  <c r="M1274" i="20"/>
  <c r="K1274" i="20"/>
  <c r="I1274" i="20"/>
  <c r="G1274" i="20"/>
  <c r="Q1267" i="20"/>
  <c r="P1267" i="20"/>
  <c r="O1267" i="20"/>
  <c r="N1267" i="20"/>
  <c r="R1267" i="20" s="1"/>
  <c r="M1267" i="20"/>
  <c r="L1267" i="20"/>
  <c r="K1267" i="20"/>
  <c r="J1267" i="20"/>
  <c r="I1267" i="20"/>
  <c r="H1267" i="20"/>
  <c r="G1267" i="20"/>
  <c r="F1267" i="20"/>
  <c r="R1265" i="20"/>
  <c r="Q1265" i="20"/>
  <c r="O1265" i="20"/>
  <c r="M1265" i="20"/>
  <c r="K1265" i="20"/>
  <c r="I1265" i="20"/>
  <c r="I1270" i="20" s="1"/>
  <c r="G1265" i="20"/>
  <c r="Q1263" i="20"/>
  <c r="P1263" i="20"/>
  <c r="O1263" i="20"/>
  <c r="O1270" i="20" s="1"/>
  <c r="N1263" i="20"/>
  <c r="M1263" i="20"/>
  <c r="L1263" i="20"/>
  <c r="K1263" i="20"/>
  <c r="K1270" i="20" s="1"/>
  <c r="J1263" i="20"/>
  <c r="I1263" i="20"/>
  <c r="H1263" i="20"/>
  <c r="G1263" i="20"/>
  <c r="F1263" i="20"/>
  <c r="R1261" i="20"/>
  <c r="Q1261" i="20"/>
  <c r="O1261" i="20"/>
  <c r="M1261" i="20"/>
  <c r="K1261" i="20"/>
  <c r="I1261" i="20"/>
  <c r="G1261" i="20"/>
  <c r="R1258" i="20"/>
  <c r="Q1258" i="20"/>
  <c r="O1258" i="20"/>
  <c r="M1258" i="20"/>
  <c r="K1258" i="20"/>
  <c r="I1258" i="20"/>
  <c r="G1258" i="20"/>
  <c r="R1256" i="20"/>
  <c r="Q1256" i="20"/>
  <c r="O1256" i="20"/>
  <c r="M1256" i="20"/>
  <c r="K1256" i="20"/>
  <c r="I1256" i="20"/>
  <c r="G1256" i="20"/>
  <c r="Q1253" i="20"/>
  <c r="O1253" i="20"/>
  <c r="M1253" i="20"/>
  <c r="K1253" i="20"/>
  <c r="I1253" i="20"/>
  <c r="G1253" i="20"/>
  <c r="Q1251" i="20"/>
  <c r="O1251" i="20"/>
  <c r="M1251" i="20"/>
  <c r="K1251" i="20"/>
  <c r="I1251" i="20"/>
  <c r="G1251" i="20"/>
  <c r="R1248" i="20"/>
  <c r="R1247" i="20"/>
  <c r="Q1247" i="20"/>
  <c r="O1247" i="20"/>
  <c r="M1247" i="20"/>
  <c r="K1247" i="20"/>
  <c r="I1247" i="20"/>
  <c r="G1247" i="20"/>
  <c r="Q1245" i="20"/>
  <c r="P1245" i="20"/>
  <c r="O1245" i="20"/>
  <c r="N1245" i="20"/>
  <c r="M1245" i="20"/>
  <c r="L1245" i="20"/>
  <c r="K1245" i="20"/>
  <c r="J1245" i="20"/>
  <c r="I1245" i="20"/>
  <c r="H1245" i="20"/>
  <c r="G1245" i="20"/>
  <c r="Q1243" i="20"/>
  <c r="P1243" i="20"/>
  <c r="O1243" i="20"/>
  <c r="N1243" i="20"/>
  <c r="M1243" i="20"/>
  <c r="L1243" i="20"/>
  <c r="K1243" i="20"/>
  <c r="J1243" i="20"/>
  <c r="I1243" i="20"/>
  <c r="H1243" i="20"/>
  <c r="F1243" i="20"/>
  <c r="R1243" i="20" s="1"/>
  <c r="R1235" i="20"/>
  <c r="Q1235" i="20"/>
  <c r="O1235" i="20"/>
  <c r="M1235" i="20"/>
  <c r="K1235" i="20"/>
  <c r="I1235" i="20"/>
  <c r="G1235" i="20"/>
  <c r="Q1221" i="20"/>
  <c r="O1221" i="20"/>
  <c r="M1221" i="20"/>
  <c r="K1221" i="20"/>
  <c r="I1221" i="20"/>
  <c r="G1221" i="20"/>
  <c r="Q1215" i="20"/>
  <c r="P1215" i="20"/>
  <c r="O1215" i="20"/>
  <c r="N1215" i="20"/>
  <c r="M1215" i="20"/>
  <c r="L1215" i="20"/>
  <c r="K1215" i="20"/>
  <c r="J1215" i="20"/>
  <c r="I1215" i="20"/>
  <c r="G1215" i="20"/>
  <c r="R1213" i="20"/>
  <c r="O1213" i="20"/>
  <c r="M1213" i="20"/>
  <c r="K1213" i="20"/>
  <c r="I1213" i="20"/>
  <c r="I1217" i="20" s="1"/>
  <c r="G1213" i="20"/>
  <c r="Q1211" i="20"/>
  <c r="P1211" i="20"/>
  <c r="O1211" i="20"/>
  <c r="N1211" i="20"/>
  <c r="M1211" i="20"/>
  <c r="L1211" i="20"/>
  <c r="K1211" i="20"/>
  <c r="J1211" i="20"/>
  <c r="I1211" i="20"/>
  <c r="H1211" i="20"/>
  <c r="G1211" i="20"/>
  <c r="F1211" i="20"/>
  <c r="R1209" i="20"/>
  <c r="O1209" i="20"/>
  <c r="M1209" i="20"/>
  <c r="M1217" i="20" s="1"/>
  <c r="K1209" i="20"/>
  <c r="I1209" i="20"/>
  <c r="G1209" i="20"/>
  <c r="R1207" i="20"/>
  <c r="Q1207" i="20"/>
  <c r="O1207" i="20"/>
  <c r="M1207" i="20"/>
  <c r="K1207" i="20"/>
  <c r="I1207" i="20"/>
  <c r="G1207" i="20"/>
  <c r="R1205" i="20"/>
  <c r="Q1205" i="20"/>
  <c r="O1205" i="20"/>
  <c r="M1205" i="20"/>
  <c r="K1205" i="20"/>
  <c r="I1205" i="20"/>
  <c r="R1203" i="20"/>
  <c r="Q1203" i="20"/>
  <c r="O1203" i="20"/>
  <c r="M1203" i="20"/>
  <c r="K1203" i="20"/>
  <c r="I1203" i="20"/>
  <c r="G1203" i="20"/>
  <c r="J1202" i="20"/>
  <c r="Q1201" i="20"/>
  <c r="O1201" i="20"/>
  <c r="M1201" i="20"/>
  <c r="K1201" i="20"/>
  <c r="I1201" i="20"/>
  <c r="Q1199" i="20"/>
  <c r="O1199" i="20"/>
  <c r="M1199" i="20"/>
  <c r="K1199" i="20"/>
  <c r="I1199" i="20"/>
  <c r="Q1196" i="20"/>
  <c r="O1196" i="20"/>
  <c r="M1196" i="20"/>
  <c r="K1196" i="20"/>
  <c r="I1196" i="20"/>
  <c r="G1196" i="20"/>
  <c r="Q1194" i="20"/>
  <c r="O1194" i="20"/>
  <c r="M1194" i="20"/>
  <c r="K1194" i="20"/>
  <c r="I1194" i="20"/>
  <c r="G1194" i="20"/>
  <c r="R1191" i="20"/>
  <c r="R1190" i="20"/>
  <c r="Q1190" i="20"/>
  <c r="O1190" i="20"/>
  <c r="M1190" i="20"/>
  <c r="K1190" i="20"/>
  <c r="I1190" i="20"/>
  <c r="G1190" i="20"/>
  <c r="Q1188" i="20"/>
  <c r="P1188" i="20"/>
  <c r="O1188" i="20"/>
  <c r="N1188" i="20"/>
  <c r="M1188" i="20"/>
  <c r="L1188" i="20"/>
  <c r="K1188" i="20"/>
  <c r="J1188" i="20"/>
  <c r="I1188" i="20"/>
  <c r="H1188" i="20"/>
  <c r="G1188" i="20"/>
  <c r="F1188" i="20"/>
  <c r="Q1186" i="20"/>
  <c r="P1186" i="20"/>
  <c r="O1186" i="20"/>
  <c r="N1186" i="20"/>
  <c r="M1186" i="20"/>
  <c r="L1186" i="20"/>
  <c r="K1186" i="20"/>
  <c r="J1186" i="20"/>
  <c r="I1186" i="20"/>
  <c r="H1186" i="20"/>
  <c r="R1186" i="20" s="1"/>
  <c r="G1186" i="20"/>
  <c r="F1186" i="20"/>
  <c r="R1178" i="20"/>
  <c r="Q1178" i="20"/>
  <c r="Q1217" i="20" s="1"/>
  <c r="O1178" i="20"/>
  <c r="M1178" i="20"/>
  <c r="K1178" i="20"/>
  <c r="I1178" i="20"/>
  <c r="G1178" i="20"/>
  <c r="Q1164" i="20"/>
  <c r="O1164" i="20"/>
  <c r="M1164" i="20"/>
  <c r="K1164" i="20"/>
  <c r="I1164" i="20"/>
  <c r="G1164" i="20"/>
  <c r="Q1158" i="20"/>
  <c r="Q1160" i="20" s="1"/>
  <c r="P1158" i="20"/>
  <c r="O1158" i="20"/>
  <c r="N1158" i="20"/>
  <c r="R1158" i="20" s="1"/>
  <c r="M1158" i="20"/>
  <c r="L1158" i="20"/>
  <c r="K1158" i="20"/>
  <c r="J1158" i="20"/>
  <c r="I1158" i="20"/>
  <c r="I1160" i="20" s="1"/>
  <c r="H1158" i="20"/>
  <c r="G1158" i="20"/>
  <c r="F1158" i="20"/>
  <c r="R1156" i="20"/>
  <c r="Q1156" i="20"/>
  <c r="O1156" i="20"/>
  <c r="M1156" i="20"/>
  <c r="K1156" i="20"/>
  <c r="K1160" i="20" s="1"/>
  <c r="I1156" i="20"/>
  <c r="G1156" i="20"/>
  <c r="Q1154" i="20"/>
  <c r="P1154" i="20"/>
  <c r="O1154" i="20"/>
  <c r="N1154" i="20"/>
  <c r="M1154" i="20"/>
  <c r="L1154" i="20"/>
  <c r="K1154" i="20"/>
  <c r="J1154" i="20"/>
  <c r="I1154" i="20"/>
  <c r="H1154" i="20"/>
  <c r="R1154" i="20" s="1"/>
  <c r="G1154" i="20"/>
  <c r="F1154" i="20"/>
  <c r="Q1152" i="20"/>
  <c r="P1152" i="20"/>
  <c r="O1152" i="20"/>
  <c r="N1152" i="20"/>
  <c r="M1152" i="20"/>
  <c r="L1152" i="20"/>
  <c r="K1152" i="20"/>
  <c r="J1152" i="20"/>
  <c r="I1152" i="20"/>
  <c r="H1152" i="20"/>
  <c r="G1152" i="20"/>
  <c r="F1152" i="20"/>
  <c r="R1149" i="20"/>
  <c r="Q1149" i="20"/>
  <c r="O1149" i="20"/>
  <c r="M1149" i="20"/>
  <c r="K1149" i="20"/>
  <c r="I1149" i="20"/>
  <c r="G1149" i="20"/>
  <c r="R1147" i="20"/>
  <c r="Q1147" i="20"/>
  <c r="O1147" i="20"/>
  <c r="O1160" i="20" s="1"/>
  <c r="M1147" i="20"/>
  <c r="K1147" i="20"/>
  <c r="I1147" i="20"/>
  <c r="G1147" i="20"/>
  <c r="G1160" i="20" s="1"/>
  <c r="Q1143" i="20"/>
  <c r="O1143" i="20"/>
  <c r="M1143" i="20"/>
  <c r="K1143" i="20"/>
  <c r="I1143" i="20"/>
  <c r="G1143" i="20"/>
  <c r="Q1141" i="20"/>
  <c r="O1141" i="20"/>
  <c r="M1141" i="20"/>
  <c r="K1141" i="20"/>
  <c r="I1141" i="20"/>
  <c r="G1141" i="20"/>
  <c r="R1138" i="20"/>
  <c r="R1137" i="20"/>
  <c r="Q1137" i="20"/>
  <c r="O1137" i="20"/>
  <c r="M1137" i="20"/>
  <c r="K1137" i="20"/>
  <c r="I1137" i="20"/>
  <c r="G1137" i="20"/>
  <c r="Q1135" i="20"/>
  <c r="P1135" i="20"/>
  <c r="O1135" i="20"/>
  <c r="N1135" i="20"/>
  <c r="M1135" i="20"/>
  <c r="L1135" i="20"/>
  <c r="K1135" i="20"/>
  <c r="J1135" i="20"/>
  <c r="R1135" i="20" s="1"/>
  <c r="I1135" i="20"/>
  <c r="H1135" i="20"/>
  <c r="G1135" i="20"/>
  <c r="Q1133" i="20"/>
  <c r="P1133" i="20"/>
  <c r="O1133" i="20"/>
  <c r="N1133" i="20"/>
  <c r="M1133" i="20"/>
  <c r="L1133" i="20"/>
  <c r="K1133" i="20"/>
  <c r="J1133" i="20"/>
  <c r="I1133" i="20"/>
  <c r="H1133" i="20"/>
  <c r="G1133" i="20"/>
  <c r="F1133" i="20"/>
  <c r="R1124" i="20"/>
  <c r="Q1124" i="20"/>
  <c r="O1124" i="20"/>
  <c r="M1124" i="20"/>
  <c r="K1124" i="20"/>
  <c r="I1124" i="20"/>
  <c r="G1124" i="20"/>
  <c r="Q1110" i="20"/>
  <c r="O1110" i="20"/>
  <c r="M1110" i="20"/>
  <c r="K1110" i="20"/>
  <c r="I1110" i="20"/>
  <c r="G1110" i="20"/>
  <c r="R1105" i="20"/>
  <c r="M1105" i="20"/>
  <c r="O1105" i="20" s="1"/>
  <c r="R1104" i="20"/>
  <c r="M1104" i="20"/>
  <c r="O1104" i="20" s="1"/>
  <c r="Q1104" i="20" s="1"/>
  <c r="R1103" i="20"/>
  <c r="M1103" i="20"/>
  <c r="R1102" i="20"/>
  <c r="M1102" i="20"/>
  <c r="O1102" i="20" s="1"/>
  <c r="Q1102" i="20" s="1"/>
  <c r="R1101" i="20"/>
  <c r="M1101" i="20"/>
  <c r="R1100" i="20"/>
  <c r="M1100" i="20"/>
  <c r="O1100" i="20" s="1"/>
  <c r="Q1100" i="20" s="1"/>
  <c r="R1099" i="20"/>
  <c r="M1099" i="20"/>
  <c r="R1097" i="20"/>
  <c r="R1096" i="20"/>
  <c r="R1095" i="20"/>
  <c r="M1095" i="20"/>
  <c r="R1093" i="20"/>
  <c r="M1093" i="20"/>
  <c r="R1092" i="20"/>
  <c r="M1092" i="20"/>
  <c r="K1091" i="20"/>
  <c r="I1091" i="20"/>
  <c r="G1091" i="20"/>
  <c r="G1090" i="20" s="1"/>
  <c r="G1073" i="20" s="1"/>
  <c r="R1089" i="20"/>
  <c r="M1089" i="20"/>
  <c r="O1089" i="20" s="1"/>
  <c r="Q1089" i="20" s="1"/>
  <c r="R1088" i="20"/>
  <c r="M1088" i="20"/>
  <c r="O1088" i="20" s="1"/>
  <c r="Q1088" i="20" s="1"/>
  <c r="R1087" i="20"/>
  <c r="M1087" i="20"/>
  <c r="R1086" i="20"/>
  <c r="M1086" i="20"/>
  <c r="R1085" i="20"/>
  <c r="M1085" i="20"/>
  <c r="O1085" i="20" s="1"/>
  <c r="Q1085" i="20" s="1"/>
  <c r="R1084" i="20"/>
  <c r="M1084" i="20"/>
  <c r="O1084" i="20" s="1"/>
  <c r="Q1084" i="20" s="1"/>
  <c r="R1083" i="20"/>
  <c r="M1083" i="20"/>
  <c r="O1083" i="20" s="1"/>
  <c r="Q1083" i="20" s="1"/>
  <c r="R1082" i="20"/>
  <c r="M1082" i="20"/>
  <c r="R1081" i="20"/>
  <c r="K1081" i="20"/>
  <c r="R1080" i="20"/>
  <c r="M1080" i="20"/>
  <c r="O1080" i="20" s="1"/>
  <c r="Q1080" i="20" s="1"/>
  <c r="R1079" i="20"/>
  <c r="M1079" i="20"/>
  <c r="O1079" i="20" s="1"/>
  <c r="R1078" i="20"/>
  <c r="M1078" i="20"/>
  <c r="O1078" i="20" s="1"/>
  <c r="Q1078" i="20" s="1"/>
  <c r="R1077" i="20"/>
  <c r="M1077" i="20"/>
  <c r="O1077" i="20" s="1"/>
  <c r="R1076" i="20"/>
  <c r="R1075" i="20"/>
  <c r="M1075" i="20"/>
  <c r="R1074" i="20"/>
  <c r="M1074" i="20"/>
  <c r="I1073" i="20"/>
  <c r="G1071" i="20"/>
  <c r="Q1068" i="20"/>
  <c r="P1068" i="20"/>
  <c r="O1068" i="20"/>
  <c r="N1068" i="20"/>
  <c r="M1068" i="20"/>
  <c r="L1068" i="20"/>
  <c r="K1068" i="20"/>
  <c r="J1068" i="20"/>
  <c r="I1068" i="20"/>
  <c r="H1068" i="20"/>
  <c r="G1068" i="20"/>
  <c r="F1068" i="20"/>
  <c r="R1066" i="20"/>
  <c r="Q1066" i="20"/>
  <c r="O1066" i="20"/>
  <c r="M1066" i="20"/>
  <c r="K1066" i="20"/>
  <c r="I1066" i="20"/>
  <c r="G1066" i="20"/>
  <c r="Q1064" i="20"/>
  <c r="P1064" i="20"/>
  <c r="O1064" i="20"/>
  <c r="N1064" i="20"/>
  <c r="M1064" i="20"/>
  <c r="L1064" i="20"/>
  <c r="K1064" i="20"/>
  <c r="J1064" i="20"/>
  <c r="I1064" i="20"/>
  <c r="H1064" i="20"/>
  <c r="G1064" i="20"/>
  <c r="F1064" i="20"/>
  <c r="R1062" i="20"/>
  <c r="Q1062" i="20"/>
  <c r="O1062" i="20"/>
  <c r="M1062" i="20"/>
  <c r="K1062" i="20"/>
  <c r="I1062" i="20"/>
  <c r="G1062" i="20"/>
  <c r="R1060" i="20"/>
  <c r="Q1060" i="20"/>
  <c r="O1060" i="20"/>
  <c r="M1060" i="20"/>
  <c r="K1060" i="20"/>
  <c r="I1060" i="20"/>
  <c r="G1060" i="20"/>
  <c r="Q1056" i="20"/>
  <c r="O1056" i="20"/>
  <c r="M1056" i="20"/>
  <c r="K1056" i="20"/>
  <c r="I1056" i="20"/>
  <c r="G1056" i="20"/>
  <c r="I1054" i="20"/>
  <c r="G1054" i="20"/>
  <c r="R1052" i="20"/>
  <c r="R1051" i="20"/>
  <c r="Q1051" i="20"/>
  <c r="O1051" i="20"/>
  <c r="M1051" i="20"/>
  <c r="K1051" i="20"/>
  <c r="I1051" i="20"/>
  <c r="G1051" i="20"/>
  <c r="Q1049" i="20"/>
  <c r="P1049" i="20"/>
  <c r="O1049" i="20"/>
  <c r="N1049" i="20"/>
  <c r="M1049" i="20"/>
  <c r="L1049" i="20"/>
  <c r="K1049" i="20"/>
  <c r="J1049" i="20"/>
  <c r="H1049" i="20"/>
  <c r="G1049" i="20"/>
  <c r="Q1047" i="20"/>
  <c r="P1047" i="20"/>
  <c r="O1047" i="20"/>
  <c r="N1047" i="20"/>
  <c r="M1047" i="20"/>
  <c r="L1047" i="20"/>
  <c r="K1047" i="20"/>
  <c r="J1047" i="20"/>
  <c r="I1047" i="20"/>
  <c r="H1047" i="20"/>
  <c r="G1047" i="20"/>
  <c r="F1047" i="20"/>
  <c r="R1038" i="20"/>
  <c r="Q1038" i="20"/>
  <c r="O1038" i="20"/>
  <c r="M1038" i="20"/>
  <c r="K1038" i="20"/>
  <c r="I1038" i="20"/>
  <c r="G1038" i="20"/>
  <c r="Q1024" i="20"/>
  <c r="O1024" i="20"/>
  <c r="M1024" i="20"/>
  <c r="K1024" i="20"/>
  <c r="I1024" i="20"/>
  <c r="G1024" i="20"/>
  <c r="Q1018" i="20"/>
  <c r="Q971" i="20" s="1"/>
  <c r="P1018" i="20"/>
  <c r="O1018" i="20"/>
  <c r="N1018" i="20"/>
  <c r="R1018" i="20" s="1"/>
  <c r="M1018" i="20"/>
  <c r="L1018" i="20"/>
  <c r="K1018" i="20"/>
  <c r="J1018" i="20"/>
  <c r="I1018" i="20"/>
  <c r="H1018" i="20"/>
  <c r="G1018" i="20"/>
  <c r="F1018" i="20"/>
  <c r="M1017" i="20"/>
  <c r="M1016" i="20" s="1"/>
  <c r="Q1016" i="20"/>
  <c r="O1016" i="20"/>
  <c r="L1016" i="20"/>
  <c r="R1016" i="20" s="1"/>
  <c r="K1016" i="20"/>
  <c r="J1016" i="20"/>
  <c r="I1016" i="20"/>
  <c r="H1016" i="20"/>
  <c r="G1016" i="20"/>
  <c r="Q1014" i="20"/>
  <c r="P1014" i="20"/>
  <c r="O1014" i="20"/>
  <c r="N1014" i="20"/>
  <c r="M1014" i="20"/>
  <c r="L1014" i="20"/>
  <c r="K1014" i="20"/>
  <c r="J1014" i="20"/>
  <c r="I1014" i="20"/>
  <c r="H1014" i="20"/>
  <c r="G1014" i="20"/>
  <c r="F1014" i="20"/>
  <c r="Q1012" i="20"/>
  <c r="P1012" i="20"/>
  <c r="O1012" i="20"/>
  <c r="N1012" i="20"/>
  <c r="M1012" i="20"/>
  <c r="L1012" i="20"/>
  <c r="K1012" i="20"/>
  <c r="J1012" i="20"/>
  <c r="I1012" i="20"/>
  <c r="H1012" i="20"/>
  <c r="G1012" i="20"/>
  <c r="F1012" i="20"/>
  <c r="Q1009" i="20"/>
  <c r="P1009" i="20"/>
  <c r="O1009" i="20"/>
  <c r="N1009" i="20"/>
  <c r="M1009" i="20"/>
  <c r="L1009" i="20"/>
  <c r="K1009" i="20"/>
  <c r="J1009" i="20"/>
  <c r="I1009" i="20"/>
  <c r="H1009" i="20"/>
  <c r="G1009" i="20"/>
  <c r="F1009" i="20"/>
  <c r="Q1007" i="20"/>
  <c r="O1007" i="20"/>
  <c r="M1007" i="20"/>
  <c r="K1007" i="20"/>
  <c r="I1007" i="20"/>
  <c r="G1007" i="20"/>
  <c r="Q1004" i="20"/>
  <c r="P1004" i="20"/>
  <c r="O1004" i="20"/>
  <c r="N1004" i="20"/>
  <c r="M1004" i="20"/>
  <c r="L1004" i="20"/>
  <c r="K1004" i="20"/>
  <c r="J1004" i="20"/>
  <c r="I1004" i="20"/>
  <c r="H1004" i="20"/>
  <c r="G1004" i="20"/>
  <c r="F1004" i="20"/>
  <c r="Q1002" i="20"/>
  <c r="P1002" i="20"/>
  <c r="O1002" i="20"/>
  <c r="N1002" i="20"/>
  <c r="M1002" i="20"/>
  <c r="L1002" i="20"/>
  <c r="K1002" i="20"/>
  <c r="J1002" i="20"/>
  <c r="I1002" i="20"/>
  <c r="H1002" i="20"/>
  <c r="G1002" i="20"/>
  <c r="F1002" i="20"/>
  <c r="Q1000" i="20"/>
  <c r="O1000" i="20"/>
  <c r="M1000" i="20"/>
  <c r="K1000" i="20"/>
  <c r="I1000" i="20"/>
  <c r="G1000" i="20"/>
  <c r="Q998" i="20"/>
  <c r="P998" i="20"/>
  <c r="O998" i="20"/>
  <c r="N998" i="20"/>
  <c r="M998" i="20"/>
  <c r="L998" i="20"/>
  <c r="K998" i="20"/>
  <c r="J998" i="20"/>
  <c r="I998" i="20"/>
  <c r="G998" i="20"/>
  <c r="Q996" i="20"/>
  <c r="P996" i="20"/>
  <c r="O996" i="20"/>
  <c r="N996" i="20"/>
  <c r="M996" i="20"/>
  <c r="L996" i="20"/>
  <c r="K996" i="20"/>
  <c r="J996" i="20"/>
  <c r="I996" i="20"/>
  <c r="H996" i="20"/>
  <c r="G996" i="20"/>
  <c r="F996" i="20"/>
  <c r="Q994" i="20"/>
  <c r="P994" i="20"/>
  <c r="O994" i="20"/>
  <c r="N994" i="20"/>
  <c r="M994" i="20"/>
  <c r="L994" i="20"/>
  <c r="K994" i="20"/>
  <c r="J994" i="20"/>
  <c r="I994" i="20"/>
  <c r="H994" i="20"/>
  <c r="R994" i="20" s="1"/>
  <c r="G994" i="20"/>
  <c r="F994" i="20"/>
  <c r="Q986" i="20"/>
  <c r="O986" i="20"/>
  <c r="O971" i="20" s="1"/>
  <c r="M986" i="20"/>
  <c r="K986" i="20"/>
  <c r="J986" i="20"/>
  <c r="R986" i="20" s="1"/>
  <c r="I986" i="20"/>
  <c r="I971" i="20" s="1"/>
  <c r="G986" i="20"/>
  <c r="Q972" i="20"/>
  <c r="O972" i="20"/>
  <c r="M972" i="20"/>
  <c r="K972" i="20"/>
  <c r="I972" i="20"/>
  <c r="G972" i="20"/>
  <c r="R966" i="20"/>
  <c r="Q966" i="20"/>
  <c r="O966" i="20"/>
  <c r="M966" i="20"/>
  <c r="K966" i="20"/>
  <c r="I966" i="20"/>
  <c r="G966" i="20"/>
  <c r="R964" i="20"/>
  <c r="O964" i="20"/>
  <c r="N964" i="20"/>
  <c r="M964" i="20"/>
  <c r="K964" i="20"/>
  <c r="I964" i="20"/>
  <c r="G964" i="20"/>
  <c r="Q962" i="20"/>
  <c r="P962" i="20"/>
  <c r="O962" i="20"/>
  <c r="N962" i="20"/>
  <c r="M962" i="20"/>
  <c r="L962" i="20"/>
  <c r="K962" i="20"/>
  <c r="J962" i="20"/>
  <c r="I962" i="20"/>
  <c r="H962" i="20"/>
  <c r="G962" i="20"/>
  <c r="F962" i="20"/>
  <c r="R960" i="20"/>
  <c r="Q960" i="20"/>
  <c r="P960" i="20"/>
  <c r="O960" i="20"/>
  <c r="M960" i="20"/>
  <c r="K960" i="20"/>
  <c r="I960" i="20"/>
  <c r="G960" i="20"/>
  <c r="R958" i="20"/>
  <c r="Q958" i="20"/>
  <c r="O958" i="20"/>
  <c r="M958" i="20"/>
  <c r="K958" i="20"/>
  <c r="I958" i="20"/>
  <c r="G958" i="20"/>
  <c r="R956" i="20"/>
  <c r="Q956" i="20"/>
  <c r="O956" i="20"/>
  <c r="M956" i="20"/>
  <c r="K956" i="20"/>
  <c r="I956" i="20"/>
  <c r="G956" i="20"/>
  <c r="Q952" i="20"/>
  <c r="O952" i="20"/>
  <c r="M952" i="20"/>
  <c r="K952" i="20"/>
  <c r="I952" i="20"/>
  <c r="G952" i="20"/>
  <c r="Q950" i="20"/>
  <c r="O950" i="20"/>
  <c r="M950" i="20"/>
  <c r="K950" i="20"/>
  <c r="I950" i="20"/>
  <c r="G950" i="20"/>
  <c r="R947" i="20"/>
  <c r="R946" i="20"/>
  <c r="Q946" i="20"/>
  <c r="O946" i="20"/>
  <c r="M946" i="20"/>
  <c r="K946" i="20"/>
  <c r="I946" i="20"/>
  <c r="G946" i="20"/>
  <c r="Q944" i="20"/>
  <c r="O944" i="20"/>
  <c r="M944" i="20"/>
  <c r="K944" i="20"/>
  <c r="I944" i="20"/>
  <c r="G944" i="20"/>
  <c r="Q942" i="20"/>
  <c r="P942" i="20"/>
  <c r="O942" i="20"/>
  <c r="N942" i="20"/>
  <c r="M942" i="20"/>
  <c r="L942" i="20"/>
  <c r="K942" i="20"/>
  <c r="J942" i="20"/>
  <c r="I942" i="20"/>
  <c r="H942" i="20"/>
  <c r="G942" i="20"/>
  <c r="F942" i="20"/>
  <c r="R934" i="20"/>
  <c r="Q934" i="20"/>
  <c r="O934" i="20"/>
  <c r="M934" i="20"/>
  <c r="K934" i="20"/>
  <c r="I934" i="20"/>
  <c r="G934" i="20"/>
  <c r="Q920" i="20"/>
  <c r="O920" i="20"/>
  <c r="M920" i="20"/>
  <c r="K920" i="20"/>
  <c r="I920" i="20"/>
  <c r="G920" i="20"/>
  <c r="Q914" i="20"/>
  <c r="O914" i="20"/>
  <c r="M914" i="20"/>
  <c r="K914" i="20"/>
  <c r="I914" i="20"/>
  <c r="G914" i="20"/>
  <c r="Q912" i="20"/>
  <c r="P912" i="20"/>
  <c r="O912" i="20"/>
  <c r="N912" i="20"/>
  <c r="R912" i="20" s="1"/>
  <c r="M912" i="20"/>
  <c r="L912" i="20"/>
  <c r="K912" i="20"/>
  <c r="J912" i="20"/>
  <c r="I912" i="20"/>
  <c r="H912" i="20"/>
  <c r="Q910" i="20"/>
  <c r="O910" i="20"/>
  <c r="M910" i="20"/>
  <c r="L910" i="20"/>
  <c r="K910" i="20"/>
  <c r="I910" i="20"/>
  <c r="H910" i="20"/>
  <c r="G910" i="20"/>
  <c r="Q908" i="20"/>
  <c r="P908" i="20"/>
  <c r="O908" i="20"/>
  <c r="N908" i="20"/>
  <c r="M908" i="20"/>
  <c r="L908" i="20"/>
  <c r="K908" i="20"/>
  <c r="J908" i="20"/>
  <c r="I908" i="20"/>
  <c r="H908" i="20"/>
  <c r="R908" i="20" s="1"/>
  <c r="G908" i="20"/>
  <c r="F908" i="20"/>
  <c r="R906" i="20"/>
  <c r="Q906" i="20"/>
  <c r="O906" i="20"/>
  <c r="M906" i="20"/>
  <c r="K906" i="20"/>
  <c r="R903" i="20"/>
  <c r="Q903" i="20"/>
  <c r="O903" i="20"/>
  <c r="M903" i="20"/>
  <c r="K903" i="20"/>
  <c r="I903" i="20"/>
  <c r="G903" i="20"/>
  <c r="R901" i="20"/>
  <c r="Q901" i="20"/>
  <c r="O901" i="20"/>
  <c r="M901" i="20"/>
  <c r="K901" i="20"/>
  <c r="I901" i="20"/>
  <c r="G901" i="20"/>
  <c r="Q898" i="20"/>
  <c r="O898" i="20"/>
  <c r="M898" i="20"/>
  <c r="K898" i="20"/>
  <c r="I898" i="20"/>
  <c r="G898" i="20"/>
  <c r="Q896" i="20"/>
  <c r="O896" i="20"/>
  <c r="M896" i="20"/>
  <c r="K896" i="20"/>
  <c r="I896" i="20"/>
  <c r="G896" i="20"/>
  <c r="R893" i="20"/>
  <c r="R892" i="20"/>
  <c r="Q892" i="20"/>
  <c r="O892" i="20"/>
  <c r="M892" i="20"/>
  <c r="K892" i="20"/>
  <c r="I892" i="20"/>
  <c r="G892" i="20"/>
  <c r="P890" i="20"/>
  <c r="N890" i="20"/>
  <c r="L890" i="20"/>
  <c r="J890" i="20"/>
  <c r="H890" i="20"/>
  <c r="Q888" i="20"/>
  <c r="P888" i="20"/>
  <c r="O888" i="20"/>
  <c r="N888" i="20"/>
  <c r="M888" i="20"/>
  <c r="L888" i="20"/>
  <c r="K888" i="20"/>
  <c r="J888" i="20"/>
  <c r="I888" i="20"/>
  <c r="H888" i="20"/>
  <c r="G888" i="20"/>
  <c r="F888" i="20"/>
  <c r="R879" i="20"/>
  <c r="Q879" i="20"/>
  <c r="O879" i="20"/>
  <c r="M879" i="20"/>
  <c r="K879" i="20"/>
  <c r="I879" i="20"/>
  <c r="G879" i="20"/>
  <c r="Q865" i="20"/>
  <c r="O865" i="20"/>
  <c r="M865" i="20"/>
  <c r="K865" i="20"/>
  <c r="I865" i="20"/>
  <c r="G865" i="20"/>
  <c r="Q859" i="20"/>
  <c r="P859" i="20"/>
  <c r="O859" i="20"/>
  <c r="N859" i="20"/>
  <c r="M859" i="20"/>
  <c r="L859" i="20"/>
  <c r="K859" i="20"/>
  <c r="J859" i="20"/>
  <c r="I859" i="20"/>
  <c r="H859" i="20"/>
  <c r="G859" i="20"/>
  <c r="F859" i="20"/>
  <c r="R857" i="20"/>
  <c r="Q857" i="20"/>
  <c r="O857" i="20"/>
  <c r="M857" i="20"/>
  <c r="K857" i="20"/>
  <c r="I857" i="20"/>
  <c r="G857" i="20"/>
  <c r="Q855" i="20"/>
  <c r="P855" i="20"/>
  <c r="O855" i="20"/>
  <c r="N855" i="20"/>
  <c r="M855" i="20"/>
  <c r="L855" i="20"/>
  <c r="K855" i="20"/>
  <c r="J855" i="20"/>
  <c r="I855" i="20"/>
  <c r="H855" i="20"/>
  <c r="G855" i="20"/>
  <c r="F855" i="20"/>
  <c r="R853" i="20"/>
  <c r="Q853" i="20"/>
  <c r="O853" i="20"/>
  <c r="M853" i="20"/>
  <c r="K853" i="20"/>
  <c r="I853" i="20"/>
  <c r="G853" i="20"/>
  <c r="R850" i="20"/>
  <c r="Q850" i="20"/>
  <c r="O850" i="20"/>
  <c r="M850" i="20"/>
  <c r="K850" i="20"/>
  <c r="I850" i="20"/>
  <c r="G850" i="20"/>
  <c r="R848" i="20"/>
  <c r="Q848" i="20"/>
  <c r="O848" i="20"/>
  <c r="M848" i="20"/>
  <c r="K848" i="20"/>
  <c r="I848" i="20"/>
  <c r="G848" i="20"/>
  <c r="Q845" i="20"/>
  <c r="O845" i="20"/>
  <c r="M845" i="20"/>
  <c r="K845" i="20"/>
  <c r="I845" i="20"/>
  <c r="G845" i="20"/>
  <c r="Q843" i="20"/>
  <c r="O843" i="20"/>
  <c r="M843" i="20"/>
  <c r="K843" i="20"/>
  <c r="I843" i="20"/>
  <c r="G843" i="20"/>
  <c r="R841" i="20"/>
  <c r="R840" i="20"/>
  <c r="Q840" i="20"/>
  <c r="O840" i="20"/>
  <c r="M840" i="20"/>
  <c r="K840" i="20"/>
  <c r="I840" i="20"/>
  <c r="G840" i="20"/>
  <c r="Q838" i="20"/>
  <c r="P838" i="20"/>
  <c r="O838" i="20"/>
  <c r="N838" i="20"/>
  <c r="M838" i="20"/>
  <c r="L838" i="20"/>
  <c r="K838" i="20"/>
  <c r="J838" i="20"/>
  <c r="I838" i="20"/>
  <c r="H838" i="20"/>
  <c r="G838" i="20"/>
  <c r="Q836" i="20"/>
  <c r="P836" i="20"/>
  <c r="O836" i="20"/>
  <c r="N836" i="20"/>
  <c r="M836" i="20"/>
  <c r="L836" i="20"/>
  <c r="K836" i="20"/>
  <c r="J836" i="20"/>
  <c r="I836" i="20"/>
  <c r="H836" i="20"/>
  <c r="G836" i="20"/>
  <c r="F836" i="20"/>
  <c r="R829" i="20"/>
  <c r="Q829" i="20"/>
  <c r="O829" i="20"/>
  <c r="M829" i="20"/>
  <c r="K829" i="20"/>
  <c r="I829" i="20"/>
  <c r="G829" i="20"/>
  <c r="Q815" i="20"/>
  <c r="O815" i="20"/>
  <c r="M815" i="20"/>
  <c r="K815" i="20"/>
  <c r="I815" i="20"/>
  <c r="G815" i="20"/>
  <c r="R811" i="20"/>
  <c r="M811" i="20"/>
  <c r="R810" i="20"/>
  <c r="M810" i="20"/>
  <c r="R809" i="20"/>
  <c r="M809" i="20"/>
  <c r="R808" i="20"/>
  <c r="M808" i="20"/>
  <c r="R807" i="20"/>
  <c r="M807" i="20"/>
  <c r="O807" i="20" s="1"/>
  <c r="Q807" i="20" s="1"/>
  <c r="R806" i="20"/>
  <c r="R805" i="20"/>
  <c r="M805" i="20"/>
  <c r="O805" i="20" s="1"/>
  <c r="Q805" i="20" s="1"/>
  <c r="R804" i="20"/>
  <c r="R802" i="20"/>
  <c r="R801" i="20"/>
  <c r="M801" i="20"/>
  <c r="O801" i="20" s="1"/>
  <c r="Q801" i="20" s="1"/>
  <c r="R800" i="20"/>
  <c r="M800" i="20"/>
  <c r="O800" i="20" s="1"/>
  <c r="K799" i="20"/>
  <c r="I799" i="20"/>
  <c r="G799" i="20"/>
  <c r="R797" i="20"/>
  <c r="M797" i="20"/>
  <c r="R796" i="20"/>
  <c r="M796" i="20"/>
  <c r="R795" i="20"/>
  <c r="M795" i="20"/>
  <c r="O795" i="20" s="1"/>
  <c r="Q795" i="20" s="1"/>
  <c r="R794" i="20"/>
  <c r="R793" i="20"/>
  <c r="M793" i="20"/>
  <c r="O793" i="20" s="1"/>
  <c r="R792" i="20"/>
  <c r="R791" i="20"/>
  <c r="M791" i="20"/>
  <c r="R790" i="20"/>
  <c r="M790" i="20"/>
  <c r="O790" i="20" s="1"/>
  <c r="Q790" i="20" s="1"/>
  <c r="K789" i="20"/>
  <c r="I789" i="20"/>
  <c r="G789" i="20"/>
  <c r="R787" i="20"/>
  <c r="M787" i="20"/>
  <c r="R786" i="20"/>
  <c r="M786" i="20"/>
  <c r="R785" i="20"/>
  <c r="M785" i="20"/>
  <c r="O785" i="20" s="1"/>
  <c r="Q785" i="20" s="1"/>
  <c r="R784" i="20"/>
  <c r="M784" i="20"/>
  <c r="R783" i="20"/>
  <c r="M783" i="20"/>
  <c r="R782" i="20"/>
  <c r="M782" i="20"/>
  <c r="R781" i="20"/>
  <c r="R780" i="20"/>
  <c r="M780" i="20"/>
  <c r="O780" i="20" s="1"/>
  <c r="Q780" i="20" s="1"/>
  <c r="R779" i="20"/>
  <c r="M779" i="20"/>
  <c r="K778" i="20"/>
  <c r="I778" i="20"/>
  <c r="G778" i="20"/>
  <c r="R776" i="20"/>
  <c r="M776" i="20"/>
  <c r="R775" i="20"/>
  <c r="M775" i="20"/>
  <c r="O775" i="20" s="1"/>
  <c r="Q775" i="20" s="1"/>
  <c r="R774" i="20"/>
  <c r="M774" i="20"/>
  <c r="R773" i="20"/>
  <c r="R772" i="20"/>
  <c r="M772" i="20"/>
  <c r="O772" i="20" s="1"/>
  <c r="R771" i="20"/>
  <c r="R770" i="20"/>
  <c r="R769" i="20"/>
  <c r="M769" i="20"/>
  <c r="R768" i="20"/>
  <c r="M768" i="20"/>
  <c r="O768" i="20" s="1"/>
  <c r="Q768" i="20" s="1"/>
  <c r="K767" i="20"/>
  <c r="I767" i="20"/>
  <c r="G767" i="20"/>
  <c r="Q763" i="20"/>
  <c r="P763" i="20"/>
  <c r="O763" i="20"/>
  <c r="N763" i="20"/>
  <c r="M763" i="20"/>
  <c r="L763" i="20"/>
  <c r="K763" i="20"/>
  <c r="J763" i="20"/>
  <c r="I763" i="20"/>
  <c r="H763" i="20"/>
  <c r="G763" i="20"/>
  <c r="F763" i="20"/>
  <c r="R761" i="20"/>
  <c r="Q761" i="20"/>
  <c r="O761" i="20"/>
  <c r="M761" i="20"/>
  <c r="K761" i="20"/>
  <c r="I761" i="20"/>
  <c r="G761" i="20"/>
  <c r="Q759" i="20"/>
  <c r="Q765" i="20" s="1"/>
  <c r="P759" i="20"/>
  <c r="O759" i="20"/>
  <c r="N759" i="20"/>
  <c r="M759" i="20"/>
  <c r="L759" i="20"/>
  <c r="K759" i="20"/>
  <c r="J759" i="20"/>
  <c r="I759" i="20"/>
  <c r="H759" i="20"/>
  <c r="G759" i="20"/>
  <c r="F759" i="20"/>
  <c r="R757" i="20"/>
  <c r="Q757" i="20"/>
  <c r="O757" i="20"/>
  <c r="M757" i="20"/>
  <c r="K757" i="20"/>
  <c r="R754" i="20"/>
  <c r="Q754" i="20"/>
  <c r="O754" i="20"/>
  <c r="M754" i="20"/>
  <c r="K754" i="20"/>
  <c r="I754" i="20"/>
  <c r="G754" i="20"/>
  <c r="R752" i="20"/>
  <c r="Q752" i="20"/>
  <c r="O752" i="20"/>
  <c r="M752" i="20"/>
  <c r="K752" i="20"/>
  <c r="I752" i="20"/>
  <c r="G752" i="20"/>
  <c r="Q748" i="20"/>
  <c r="O748" i="20"/>
  <c r="M748" i="20"/>
  <c r="K748" i="20"/>
  <c r="I748" i="20"/>
  <c r="G748" i="20"/>
  <c r="Q746" i="20"/>
  <c r="O746" i="20"/>
  <c r="M746" i="20"/>
  <c r="K746" i="20"/>
  <c r="I746" i="20"/>
  <c r="G746" i="20"/>
  <c r="R743" i="20"/>
  <c r="R742" i="20"/>
  <c r="Q742" i="20"/>
  <c r="O742" i="20"/>
  <c r="M742" i="20"/>
  <c r="K742" i="20"/>
  <c r="I742" i="20"/>
  <c r="G742" i="20"/>
  <c r="Q740" i="20"/>
  <c r="P740" i="20"/>
  <c r="O740" i="20"/>
  <c r="N740" i="20"/>
  <c r="M740" i="20"/>
  <c r="L740" i="20"/>
  <c r="K740" i="20"/>
  <c r="J740" i="20"/>
  <c r="I740" i="20"/>
  <c r="H740" i="20"/>
  <c r="G740" i="20"/>
  <c r="Q738" i="20"/>
  <c r="P738" i="20"/>
  <c r="O738" i="20"/>
  <c r="N738" i="20"/>
  <c r="M738" i="20"/>
  <c r="L738" i="20"/>
  <c r="K738" i="20"/>
  <c r="J738" i="20"/>
  <c r="I738" i="20"/>
  <c r="H738" i="20"/>
  <c r="G738" i="20"/>
  <c r="F738" i="20"/>
  <c r="R729" i="20"/>
  <c r="Q729" i="20"/>
  <c r="O729" i="20"/>
  <c r="M729" i="20"/>
  <c r="K729" i="20"/>
  <c r="I729" i="20"/>
  <c r="G729" i="20"/>
  <c r="Q715" i="20"/>
  <c r="O715" i="20"/>
  <c r="M715" i="20"/>
  <c r="K715" i="20"/>
  <c r="I715" i="20"/>
  <c r="G715" i="20"/>
  <c r="R708" i="20"/>
  <c r="Q708" i="20"/>
  <c r="P708" i="20"/>
  <c r="O708" i="20"/>
  <c r="M708" i="20"/>
  <c r="L708" i="20"/>
  <c r="K708" i="20"/>
  <c r="J708" i="20"/>
  <c r="I708" i="20"/>
  <c r="H708" i="20"/>
  <c r="G708" i="20"/>
  <c r="O706" i="20"/>
  <c r="M706" i="20"/>
  <c r="K706" i="20"/>
  <c r="I706" i="20"/>
  <c r="H706" i="20"/>
  <c r="G706" i="20"/>
  <c r="F706" i="20"/>
  <c r="R704" i="20"/>
  <c r="Q704" i="20"/>
  <c r="O704" i="20"/>
  <c r="M704" i="20"/>
  <c r="K704" i="20"/>
  <c r="I704" i="20"/>
  <c r="G704" i="20"/>
  <c r="Q702" i="20"/>
  <c r="P702" i="20"/>
  <c r="O702" i="20"/>
  <c r="N702" i="20"/>
  <c r="M702" i="20"/>
  <c r="L702" i="20"/>
  <c r="K702" i="20"/>
  <c r="J702" i="20"/>
  <c r="I702" i="20"/>
  <c r="H702" i="20"/>
  <c r="G702" i="20"/>
  <c r="F702" i="20"/>
  <c r="R698" i="20"/>
  <c r="Q698" i="20"/>
  <c r="O698" i="20"/>
  <c r="M698" i="20"/>
  <c r="K698" i="20"/>
  <c r="I698" i="20"/>
  <c r="G698" i="20"/>
  <c r="R695" i="20"/>
  <c r="Q695" i="20"/>
  <c r="O695" i="20"/>
  <c r="M695" i="20"/>
  <c r="K695" i="20"/>
  <c r="I695" i="20"/>
  <c r="G695" i="20"/>
  <c r="R693" i="20"/>
  <c r="Q693" i="20"/>
  <c r="O693" i="20"/>
  <c r="M693" i="20"/>
  <c r="K693" i="20"/>
  <c r="I693" i="20"/>
  <c r="G693" i="20"/>
  <c r="Q690" i="20"/>
  <c r="O690" i="20"/>
  <c r="M690" i="20"/>
  <c r="K690" i="20"/>
  <c r="I690" i="20"/>
  <c r="G690" i="20"/>
  <c r="O688" i="20"/>
  <c r="M688" i="20"/>
  <c r="K688" i="20"/>
  <c r="I688" i="20"/>
  <c r="G688" i="20"/>
  <c r="R685" i="20"/>
  <c r="R684" i="20"/>
  <c r="Q684" i="20"/>
  <c r="O684" i="20"/>
  <c r="M684" i="20"/>
  <c r="K684" i="20"/>
  <c r="I684" i="20"/>
  <c r="G684" i="20"/>
  <c r="Q682" i="20"/>
  <c r="P682" i="20"/>
  <c r="O682" i="20"/>
  <c r="N682" i="20"/>
  <c r="M682" i="20"/>
  <c r="L682" i="20"/>
  <c r="K682" i="20"/>
  <c r="J682" i="20"/>
  <c r="I682" i="20"/>
  <c r="H682" i="20"/>
  <c r="G682" i="20"/>
  <c r="Q680" i="20"/>
  <c r="P680" i="20"/>
  <c r="O680" i="20"/>
  <c r="N680" i="20"/>
  <c r="M680" i="20"/>
  <c r="L680" i="20"/>
  <c r="K680" i="20"/>
  <c r="J680" i="20"/>
  <c r="I680" i="20"/>
  <c r="H680" i="20"/>
  <c r="R680" i="20" s="1"/>
  <c r="G680" i="20"/>
  <c r="F680" i="20"/>
  <c r="R673" i="20"/>
  <c r="Q673" i="20"/>
  <c r="O673" i="20"/>
  <c r="M673" i="20"/>
  <c r="K673" i="20"/>
  <c r="I673" i="20"/>
  <c r="G673" i="20"/>
  <c r="Q659" i="20"/>
  <c r="O659" i="20"/>
  <c r="M659" i="20"/>
  <c r="K659" i="20"/>
  <c r="I659" i="20"/>
  <c r="G659" i="20"/>
  <c r="Q653" i="20"/>
  <c r="P653" i="20"/>
  <c r="O653" i="20"/>
  <c r="N653" i="20"/>
  <c r="M653" i="20"/>
  <c r="L653" i="20"/>
  <c r="K653" i="20"/>
  <c r="J653" i="20"/>
  <c r="I653" i="20"/>
  <c r="H653" i="20"/>
  <c r="G653" i="20"/>
  <c r="F653" i="20"/>
  <c r="R651" i="20"/>
  <c r="Q651" i="20"/>
  <c r="O651" i="20"/>
  <c r="M651" i="20"/>
  <c r="K651" i="20"/>
  <c r="I651" i="20"/>
  <c r="G651" i="20"/>
  <c r="Q649" i="20"/>
  <c r="P649" i="20"/>
  <c r="O649" i="20"/>
  <c r="N649" i="20"/>
  <c r="M649" i="20"/>
  <c r="L649" i="20"/>
  <c r="K649" i="20"/>
  <c r="J649" i="20"/>
  <c r="I649" i="20"/>
  <c r="H649" i="20"/>
  <c r="R649" i="20" s="1"/>
  <c r="G649" i="20"/>
  <c r="F649" i="20"/>
  <c r="R647" i="20"/>
  <c r="Q647" i="20"/>
  <c r="O647" i="20"/>
  <c r="M647" i="20"/>
  <c r="K647" i="20"/>
  <c r="I647" i="20"/>
  <c r="G647" i="20"/>
  <c r="R644" i="20"/>
  <c r="Q644" i="20"/>
  <c r="O644" i="20"/>
  <c r="O655" i="20" s="1"/>
  <c r="M644" i="20"/>
  <c r="K644" i="20"/>
  <c r="I644" i="20"/>
  <c r="G644" i="20"/>
  <c r="R642" i="20"/>
  <c r="Q642" i="20"/>
  <c r="O642" i="20"/>
  <c r="M642" i="20"/>
  <c r="K642" i="20"/>
  <c r="I642" i="20"/>
  <c r="G642" i="20"/>
  <c r="Q639" i="20"/>
  <c r="O639" i="20"/>
  <c r="M639" i="20"/>
  <c r="K639" i="20"/>
  <c r="I639" i="20"/>
  <c r="G639" i="20"/>
  <c r="Q637" i="20"/>
  <c r="O637" i="20"/>
  <c r="M637" i="20"/>
  <c r="K637" i="20"/>
  <c r="I637" i="20"/>
  <c r="G637" i="20"/>
  <c r="R634" i="20"/>
  <c r="Q633" i="20"/>
  <c r="O633" i="20"/>
  <c r="M633" i="20"/>
  <c r="K633" i="20"/>
  <c r="I633" i="20"/>
  <c r="G633" i="20"/>
  <c r="P631" i="20"/>
  <c r="N631" i="20"/>
  <c r="L631" i="20"/>
  <c r="J631" i="20"/>
  <c r="R620" i="20"/>
  <c r="Q620" i="20"/>
  <c r="O620" i="20"/>
  <c r="M620" i="20"/>
  <c r="K620" i="20"/>
  <c r="I620" i="20"/>
  <c r="G620" i="20"/>
  <c r="Q606" i="20"/>
  <c r="O606" i="20"/>
  <c r="M606" i="20"/>
  <c r="K606" i="20"/>
  <c r="I606" i="20"/>
  <c r="G606" i="20"/>
  <c r="Q600" i="20"/>
  <c r="P600" i="20"/>
  <c r="O600" i="20"/>
  <c r="N600" i="20"/>
  <c r="R600" i="20" s="1"/>
  <c r="M600" i="20"/>
  <c r="L600" i="20"/>
  <c r="K600" i="20"/>
  <c r="J600" i="20"/>
  <c r="I600" i="20"/>
  <c r="H600" i="20"/>
  <c r="G600" i="20"/>
  <c r="F600" i="20"/>
  <c r="R598" i="20"/>
  <c r="Q598" i="20"/>
  <c r="O598" i="20"/>
  <c r="M598" i="20"/>
  <c r="K598" i="20"/>
  <c r="I598" i="20"/>
  <c r="G598" i="20"/>
  <c r="Q596" i="20"/>
  <c r="P596" i="20"/>
  <c r="O596" i="20"/>
  <c r="N596" i="20"/>
  <c r="M596" i="20"/>
  <c r="L596" i="20"/>
  <c r="K596" i="20"/>
  <c r="J596" i="20"/>
  <c r="I596" i="20"/>
  <c r="H596" i="20"/>
  <c r="R596" i="20" s="1"/>
  <c r="G596" i="20"/>
  <c r="F596" i="20"/>
  <c r="R594" i="20"/>
  <c r="Q594" i="20"/>
  <c r="O594" i="20"/>
  <c r="M594" i="20"/>
  <c r="K594" i="20"/>
  <c r="I594" i="20"/>
  <c r="G594" i="20"/>
  <c r="R591" i="20"/>
  <c r="Q591" i="20"/>
  <c r="O591" i="20"/>
  <c r="O602" i="20" s="1"/>
  <c r="M591" i="20"/>
  <c r="K591" i="20"/>
  <c r="I591" i="20"/>
  <c r="G591" i="20"/>
  <c r="R589" i="20"/>
  <c r="Q589" i="20"/>
  <c r="O589" i="20"/>
  <c r="M589" i="20"/>
  <c r="K589" i="20"/>
  <c r="I589" i="20"/>
  <c r="G589" i="20"/>
  <c r="Q586" i="20"/>
  <c r="O586" i="20"/>
  <c r="M586" i="20"/>
  <c r="K586" i="20"/>
  <c r="I586" i="20"/>
  <c r="G586" i="20"/>
  <c r="Q584" i="20"/>
  <c r="O584" i="20"/>
  <c r="M584" i="20"/>
  <c r="K584" i="20"/>
  <c r="I584" i="20"/>
  <c r="G584" i="20"/>
  <c r="R582" i="20"/>
  <c r="R581" i="20"/>
  <c r="Q581" i="20"/>
  <c r="O581" i="20"/>
  <c r="M581" i="20"/>
  <c r="K581" i="20"/>
  <c r="I581" i="20"/>
  <c r="G581" i="20"/>
  <c r="R579" i="20"/>
  <c r="Q579" i="20"/>
  <c r="O579" i="20"/>
  <c r="M579" i="20"/>
  <c r="K579" i="20"/>
  <c r="I579" i="20"/>
  <c r="G579" i="20"/>
  <c r="R577" i="20"/>
  <c r="Q577" i="20"/>
  <c r="O577" i="20"/>
  <c r="M577" i="20"/>
  <c r="K577" i="20"/>
  <c r="G577" i="20"/>
  <c r="R569" i="20"/>
  <c r="Q569" i="20"/>
  <c r="O569" i="20"/>
  <c r="M569" i="20"/>
  <c r="K569" i="20"/>
  <c r="I569" i="20"/>
  <c r="G569" i="20"/>
  <c r="Q555" i="20"/>
  <c r="O555" i="20"/>
  <c r="M555" i="20"/>
  <c r="K555" i="20"/>
  <c r="I555" i="20"/>
  <c r="G555" i="20"/>
  <c r="Q549" i="20"/>
  <c r="P549" i="20"/>
  <c r="O549" i="20"/>
  <c r="N549" i="20"/>
  <c r="M549" i="20"/>
  <c r="L549" i="20"/>
  <c r="K549" i="20"/>
  <c r="J549" i="20"/>
  <c r="I549" i="20"/>
  <c r="H549" i="20"/>
  <c r="G549" i="20"/>
  <c r="F549" i="20"/>
  <c r="R547" i="20"/>
  <c r="Q547" i="20"/>
  <c r="O547" i="20"/>
  <c r="M547" i="20"/>
  <c r="K547" i="20"/>
  <c r="I547" i="20"/>
  <c r="G547" i="20"/>
  <c r="Q545" i="20"/>
  <c r="P545" i="20"/>
  <c r="O545" i="20"/>
  <c r="N545" i="20"/>
  <c r="M545" i="20"/>
  <c r="L545" i="20"/>
  <c r="K545" i="20"/>
  <c r="J545" i="20"/>
  <c r="I545" i="20"/>
  <c r="H545" i="20"/>
  <c r="G545" i="20"/>
  <c r="F545" i="20"/>
  <c r="R545" i="20" s="1"/>
  <c r="R543" i="20"/>
  <c r="M543" i="20"/>
  <c r="K543" i="20"/>
  <c r="I543" i="20"/>
  <c r="G543" i="20"/>
  <c r="R540" i="20"/>
  <c r="O540" i="20"/>
  <c r="M540" i="20"/>
  <c r="K540" i="20"/>
  <c r="I540" i="20"/>
  <c r="G540" i="20"/>
  <c r="R538" i="20"/>
  <c r="Q538" i="20"/>
  <c r="O538" i="20"/>
  <c r="M538" i="20"/>
  <c r="K538" i="20"/>
  <c r="I538" i="20"/>
  <c r="G538" i="20"/>
  <c r="Q534" i="20"/>
  <c r="O534" i="20"/>
  <c r="M534" i="20"/>
  <c r="K534" i="20"/>
  <c r="I534" i="20"/>
  <c r="G534" i="20"/>
  <c r="Q532" i="20"/>
  <c r="O532" i="20"/>
  <c r="M532" i="20"/>
  <c r="K532" i="20"/>
  <c r="I532" i="20"/>
  <c r="G532" i="20"/>
  <c r="R529" i="20"/>
  <c r="R528" i="20"/>
  <c r="Q528" i="20"/>
  <c r="O528" i="20"/>
  <c r="M528" i="20"/>
  <c r="K528" i="20"/>
  <c r="I528" i="20"/>
  <c r="G528" i="20"/>
  <c r="Q526" i="20"/>
  <c r="P526" i="20"/>
  <c r="O526" i="20"/>
  <c r="N526" i="20"/>
  <c r="M526" i="20"/>
  <c r="L526" i="20"/>
  <c r="K526" i="20"/>
  <c r="J526" i="20"/>
  <c r="I526" i="20"/>
  <c r="H526" i="20"/>
  <c r="G526" i="20"/>
  <c r="Q524" i="20"/>
  <c r="P524" i="20"/>
  <c r="O524" i="20"/>
  <c r="N524" i="20"/>
  <c r="M524" i="20"/>
  <c r="L524" i="20"/>
  <c r="K524" i="20"/>
  <c r="J524" i="20"/>
  <c r="I524" i="20"/>
  <c r="H524" i="20"/>
  <c r="G524" i="20"/>
  <c r="F524" i="20"/>
  <c r="R516" i="20"/>
  <c r="Q516" i="20"/>
  <c r="O516" i="20"/>
  <c r="M516" i="20"/>
  <c r="I516" i="20"/>
  <c r="G516" i="20"/>
  <c r="Q502" i="20"/>
  <c r="O502" i="20"/>
  <c r="M502" i="20"/>
  <c r="K502" i="20"/>
  <c r="I502" i="20"/>
  <c r="G502" i="20"/>
  <c r="Q496" i="20"/>
  <c r="P496" i="20"/>
  <c r="O496" i="20"/>
  <c r="N496" i="20"/>
  <c r="M496" i="20"/>
  <c r="L496" i="20"/>
  <c r="K496" i="20"/>
  <c r="J496" i="20"/>
  <c r="I496" i="20"/>
  <c r="H496" i="20"/>
  <c r="G496" i="20"/>
  <c r="F496" i="20"/>
  <c r="Q495" i="20"/>
  <c r="Q494" i="20" s="1"/>
  <c r="M495" i="20"/>
  <c r="M494" i="20" s="1"/>
  <c r="R494" i="20"/>
  <c r="O494" i="20"/>
  <c r="K494" i="20"/>
  <c r="I494" i="20"/>
  <c r="G494" i="20"/>
  <c r="R492" i="20"/>
  <c r="Q492" i="20"/>
  <c r="O492" i="20"/>
  <c r="M492" i="20"/>
  <c r="K492" i="20"/>
  <c r="I492" i="20"/>
  <c r="G492" i="20"/>
  <c r="R490" i="20"/>
  <c r="Q490" i="20"/>
  <c r="O490" i="20"/>
  <c r="M490" i="20"/>
  <c r="K490" i="20"/>
  <c r="I490" i="20"/>
  <c r="G490" i="20"/>
  <c r="R487" i="20"/>
  <c r="Q487" i="20"/>
  <c r="O487" i="20"/>
  <c r="M487" i="20"/>
  <c r="K487" i="20"/>
  <c r="I487" i="20"/>
  <c r="G487" i="20"/>
  <c r="R485" i="20"/>
  <c r="Q485" i="20"/>
  <c r="O485" i="20"/>
  <c r="M485" i="20"/>
  <c r="K485" i="20"/>
  <c r="I485" i="20"/>
  <c r="G485" i="20"/>
  <c r="Q482" i="20"/>
  <c r="O482" i="20"/>
  <c r="M482" i="20"/>
  <c r="K482" i="20"/>
  <c r="I482" i="20"/>
  <c r="G482" i="20"/>
  <c r="Q480" i="20"/>
  <c r="O480" i="20"/>
  <c r="M480" i="20"/>
  <c r="K480" i="20"/>
  <c r="I480" i="20"/>
  <c r="G480" i="20"/>
  <c r="R477" i="20"/>
  <c r="R476" i="20"/>
  <c r="Q476" i="20"/>
  <c r="O476" i="20"/>
  <c r="M476" i="20"/>
  <c r="K476" i="20"/>
  <c r="I476" i="20"/>
  <c r="G476" i="20"/>
  <c r="Q474" i="20"/>
  <c r="P474" i="20"/>
  <c r="O474" i="20"/>
  <c r="N474" i="20"/>
  <c r="M474" i="20"/>
  <c r="L474" i="20"/>
  <c r="K474" i="20"/>
  <c r="J474" i="20"/>
  <c r="I474" i="20"/>
  <c r="H474" i="20"/>
  <c r="G474" i="20"/>
  <c r="Q472" i="20"/>
  <c r="P472" i="20"/>
  <c r="O472" i="20"/>
  <c r="N472" i="20"/>
  <c r="M472" i="20"/>
  <c r="L472" i="20"/>
  <c r="K472" i="20"/>
  <c r="J472" i="20"/>
  <c r="I472" i="20"/>
  <c r="H472" i="20"/>
  <c r="G472" i="20"/>
  <c r="F472" i="20"/>
  <c r="R464" i="20"/>
  <c r="Q464" i="20"/>
  <c r="O464" i="20"/>
  <c r="M464" i="20"/>
  <c r="K464" i="20"/>
  <c r="I464" i="20"/>
  <c r="G464" i="20"/>
  <c r="R444" i="20"/>
  <c r="Q444" i="20"/>
  <c r="O444" i="20"/>
  <c r="M444" i="20"/>
  <c r="R442" i="20"/>
  <c r="Q442" i="20"/>
  <c r="P442" i="20"/>
  <c r="O442" i="20"/>
  <c r="N442" i="20"/>
  <c r="I442" i="20"/>
  <c r="H442" i="20"/>
  <c r="G442" i="20"/>
  <c r="F442" i="20"/>
  <c r="P440" i="20"/>
  <c r="N440" i="20"/>
  <c r="L440" i="20"/>
  <c r="J440" i="20"/>
  <c r="H440" i="20"/>
  <c r="G440" i="20"/>
  <c r="F440" i="20"/>
  <c r="I438" i="20"/>
  <c r="I437" i="20" s="1"/>
  <c r="R437" i="20"/>
  <c r="Q437" i="20"/>
  <c r="O437" i="20"/>
  <c r="M437" i="20"/>
  <c r="K437" i="20"/>
  <c r="G437" i="20"/>
  <c r="R435" i="20"/>
  <c r="Q432" i="20"/>
  <c r="O432" i="20"/>
  <c r="M432" i="20"/>
  <c r="K432" i="20"/>
  <c r="I432" i="20"/>
  <c r="Q428" i="20"/>
  <c r="P428" i="20"/>
  <c r="O428" i="20"/>
  <c r="N428" i="20"/>
  <c r="M428" i="20"/>
  <c r="L428" i="20"/>
  <c r="K428" i="20"/>
  <c r="J428" i="20"/>
  <c r="R426" i="20"/>
  <c r="Q424" i="20"/>
  <c r="P424" i="20"/>
  <c r="O424" i="20"/>
  <c r="N424" i="20"/>
  <c r="M424" i="20"/>
  <c r="L424" i="20"/>
  <c r="K424" i="20"/>
  <c r="J424" i="20"/>
  <c r="R416" i="20"/>
  <c r="Q416" i="20"/>
  <c r="O416" i="20"/>
  <c r="M416" i="20"/>
  <c r="K416" i="20"/>
  <c r="G416" i="20"/>
  <c r="Q402" i="20"/>
  <c r="O402" i="20"/>
  <c r="M402" i="20"/>
  <c r="K402" i="20"/>
  <c r="Q396" i="20"/>
  <c r="P396" i="20"/>
  <c r="O396" i="20"/>
  <c r="N396" i="20"/>
  <c r="M396" i="20"/>
  <c r="L396" i="20"/>
  <c r="K396" i="20"/>
  <c r="J396" i="20"/>
  <c r="I396" i="20"/>
  <c r="H396" i="20"/>
  <c r="G396" i="20"/>
  <c r="F396" i="20"/>
  <c r="Q394" i="20"/>
  <c r="P394" i="20"/>
  <c r="O394" i="20"/>
  <c r="N394" i="20"/>
  <c r="M394" i="20"/>
  <c r="L394" i="20"/>
  <c r="K394" i="20"/>
  <c r="J394" i="20"/>
  <c r="I394" i="20"/>
  <c r="H394" i="20"/>
  <c r="G394" i="20"/>
  <c r="F394" i="20"/>
  <c r="E394" i="20"/>
  <c r="Q392" i="20"/>
  <c r="P392" i="20"/>
  <c r="O392" i="20"/>
  <c r="N392" i="20"/>
  <c r="M392" i="20"/>
  <c r="L392" i="20"/>
  <c r="K392" i="20"/>
  <c r="J392" i="20"/>
  <c r="I392" i="20"/>
  <c r="H392" i="20"/>
  <c r="G392" i="20"/>
  <c r="F392" i="20"/>
  <c r="R390" i="20"/>
  <c r="Q390" i="20"/>
  <c r="O390" i="20"/>
  <c r="M390" i="20"/>
  <c r="I390" i="20"/>
  <c r="G390" i="20"/>
  <c r="R387" i="20"/>
  <c r="Q387" i="20"/>
  <c r="O387" i="20"/>
  <c r="O398" i="20" s="1"/>
  <c r="M387" i="20"/>
  <c r="K387" i="20"/>
  <c r="I387" i="20"/>
  <c r="G387" i="20"/>
  <c r="R385" i="20"/>
  <c r="Q385" i="20"/>
  <c r="O385" i="20"/>
  <c r="M385" i="20"/>
  <c r="K385" i="20"/>
  <c r="I385" i="20"/>
  <c r="G385" i="20"/>
  <c r="Q382" i="20"/>
  <c r="O382" i="20"/>
  <c r="M382" i="20"/>
  <c r="K382" i="20"/>
  <c r="I382" i="20"/>
  <c r="G382" i="20"/>
  <c r="Q380" i="20"/>
  <c r="O380" i="20"/>
  <c r="M380" i="20"/>
  <c r="K380" i="20"/>
  <c r="I380" i="20"/>
  <c r="G380" i="20"/>
  <c r="R377" i="20"/>
  <c r="R376" i="20"/>
  <c r="Q376" i="20"/>
  <c r="O376" i="20"/>
  <c r="M376" i="20"/>
  <c r="K376" i="20"/>
  <c r="I376" i="20"/>
  <c r="G376" i="20"/>
  <c r="Q374" i="20"/>
  <c r="P374" i="20"/>
  <c r="O374" i="20"/>
  <c r="N374" i="20"/>
  <c r="M374" i="20"/>
  <c r="L374" i="20"/>
  <c r="K374" i="20"/>
  <c r="J374" i="20"/>
  <c r="I374" i="20"/>
  <c r="H374" i="20"/>
  <c r="G374" i="20"/>
  <c r="F374" i="20"/>
  <c r="E374" i="20"/>
  <c r="Q372" i="20"/>
  <c r="P372" i="20"/>
  <c r="O372" i="20"/>
  <c r="N372" i="20"/>
  <c r="M372" i="20"/>
  <c r="L372" i="20"/>
  <c r="K372" i="20"/>
  <c r="J372" i="20"/>
  <c r="I372" i="20"/>
  <c r="H372" i="20"/>
  <c r="G372" i="20"/>
  <c r="F372" i="20"/>
  <c r="F368" i="20"/>
  <c r="H367" i="20"/>
  <c r="R364" i="20"/>
  <c r="Q364" i="20"/>
  <c r="O364" i="20"/>
  <c r="M364" i="20"/>
  <c r="K364" i="20"/>
  <c r="I364" i="20"/>
  <c r="G364" i="20"/>
  <c r="Q350" i="20"/>
  <c r="O350" i="20"/>
  <c r="M350" i="20"/>
  <c r="K350" i="20"/>
  <c r="I350" i="20"/>
  <c r="G350" i="20"/>
  <c r="Q344" i="20"/>
  <c r="P344" i="20"/>
  <c r="O344" i="20"/>
  <c r="N344" i="20"/>
  <c r="M344" i="20"/>
  <c r="L344" i="20"/>
  <c r="K344" i="20"/>
  <c r="J344" i="20"/>
  <c r="I344" i="20"/>
  <c r="H344" i="20"/>
  <c r="G344" i="20"/>
  <c r="F344" i="20"/>
  <c r="Q342" i="20"/>
  <c r="P342" i="20"/>
  <c r="O342" i="20"/>
  <c r="N342" i="20"/>
  <c r="M342" i="20"/>
  <c r="L342" i="20"/>
  <c r="K342" i="20"/>
  <c r="J342" i="20"/>
  <c r="I342" i="20"/>
  <c r="H342" i="20"/>
  <c r="G342" i="20"/>
  <c r="F342" i="20"/>
  <c r="Q340" i="20"/>
  <c r="P340" i="20"/>
  <c r="O340" i="20"/>
  <c r="N340" i="20"/>
  <c r="M340" i="20"/>
  <c r="L340" i="20"/>
  <c r="K340" i="20"/>
  <c r="J340" i="20"/>
  <c r="I340" i="20"/>
  <c r="H340" i="20"/>
  <c r="G340" i="20"/>
  <c r="F340" i="20"/>
  <c r="Q338" i="20"/>
  <c r="Q337" i="20" s="1"/>
  <c r="P338" i="20"/>
  <c r="O338" i="20"/>
  <c r="O337" i="20" s="1"/>
  <c r="N338" i="20"/>
  <c r="M338" i="20"/>
  <c r="M337" i="20" s="1"/>
  <c r="L338" i="20"/>
  <c r="K338" i="20"/>
  <c r="K337" i="20" s="1"/>
  <c r="J338" i="20"/>
  <c r="I338" i="20"/>
  <c r="I337" i="20" s="1"/>
  <c r="H338" i="20"/>
  <c r="G338" i="20"/>
  <c r="G337" i="20" s="1"/>
  <c r="F338" i="20"/>
  <c r="R337" i="20"/>
  <c r="R335" i="20"/>
  <c r="Q335" i="20"/>
  <c r="O335" i="20"/>
  <c r="M335" i="20"/>
  <c r="K335" i="20"/>
  <c r="I335" i="20"/>
  <c r="G335" i="20"/>
  <c r="Q332" i="20"/>
  <c r="O332" i="20"/>
  <c r="M332" i="20"/>
  <c r="K332" i="20"/>
  <c r="I332" i="20"/>
  <c r="G332" i="20"/>
  <c r="Q330" i="20"/>
  <c r="O330" i="20"/>
  <c r="M330" i="20"/>
  <c r="K330" i="20"/>
  <c r="I330" i="20"/>
  <c r="G330" i="20"/>
  <c r="Q328" i="20"/>
  <c r="P328" i="20"/>
  <c r="O328" i="20"/>
  <c r="N328" i="20"/>
  <c r="M328" i="20"/>
  <c r="L328" i="20"/>
  <c r="K328" i="20"/>
  <c r="J328" i="20"/>
  <c r="I328" i="20"/>
  <c r="H328" i="20"/>
  <c r="G328" i="20"/>
  <c r="F328" i="20"/>
  <c r="R328" i="20" s="1"/>
  <c r="R326" i="20"/>
  <c r="I326" i="20"/>
  <c r="G326" i="20"/>
  <c r="Q324" i="20"/>
  <c r="P324" i="20"/>
  <c r="O324" i="20"/>
  <c r="N324" i="20"/>
  <c r="M324" i="20"/>
  <c r="L324" i="20"/>
  <c r="K324" i="20"/>
  <c r="J324" i="20"/>
  <c r="I324" i="20"/>
  <c r="H324" i="20"/>
  <c r="G324" i="20"/>
  <c r="F324" i="20"/>
  <c r="R316" i="20"/>
  <c r="Q316" i="20"/>
  <c r="O316" i="20"/>
  <c r="M316" i="20"/>
  <c r="K316" i="20"/>
  <c r="I316" i="20"/>
  <c r="G316" i="20"/>
  <c r="Q301" i="20"/>
  <c r="O301" i="20"/>
  <c r="M301" i="20"/>
  <c r="K301" i="20"/>
  <c r="I301" i="20"/>
  <c r="G301" i="20"/>
  <c r="I297" i="20"/>
  <c r="K297" i="20" s="1"/>
  <c r="M297" i="20" s="1"/>
  <c r="O297" i="20" s="1"/>
  <c r="Q297" i="20" s="1"/>
  <c r="I296" i="20"/>
  <c r="K296" i="20" s="1"/>
  <c r="M296" i="20" s="1"/>
  <c r="O296" i="20" s="1"/>
  <c r="Q296" i="20" s="1"/>
  <c r="I295" i="20"/>
  <c r="K295" i="20" s="1"/>
  <c r="M295" i="20" s="1"/>
  <c r="O295" i="20" s="1"/>
  <c r="Q295" i="20" s="1"/>
  <c r="I294" i="20"/>
  <c r="K294" i="20" s="1"/>
  <c r="M294" i="20" s="1"/>
  <c r="O294" i="20" s="1"/>
  <c r="Q294" i="20" s="1"/>
  <c r="R293" i="20"/>
  <c r="I293" i="20"/>
  <c r="E292" i="20"/>
  <c r="Q291" i="20"/>
  <c r="P291" i="20"/>
  <c r="O291" i="20"/>
  <c r="N291" i="20"/>
  <c r="M291" i="20"/>
  <c r="L291" i="20"/>
  <c r="K291" i="20"/>
  <c r="J291" i="20"/>
  <c r="I291" i="20"/>
  <c r="H291" i="20"/>
  <c r="G291" i="20"/>
  <c r="F291" i="20"/>
  <c r="I290" i="20"/>
  <c r="I289" i="20" s="1"/>
  <c r="Q289" i="20"/>
  <c r="P289" i="20"/>
  <c r="O289" i="20"/>
  <c r="N289" i="20"/>
  <c r="M289" i="20"/>
  <c r="L289" i="20"/>
  <c r="K289" i="20"/>
  <c r="J289" i="20"/>
  <c r="H289" i="20"/>
  <c r="G289" i="20"/>
  <c r="F289" i="20"/>
  <c r="I288" i="20"/>
  <c r="K288" i="20" s="1"/>
  <c r="R287" i="20"/>
  <c r="G287" i="20"/>
  <c r="I286" i="20"/>
  <c r="K286" i="20" s="1"/>
  <c r="R285" i="20"/>
  <c r="G285" i="20"/>
  <c r="I284" i="20"/>
  <c r="K284" i="20" s="1"/>
  <c r="I283" i="20"/>
  <c r="G282" i="20"/>
  <c r="I281" i="20"/>
  <c r="I280" i="20" s="1"/>
  <c r="G280" i="20"/>
  <c r="I279" i="20"/>
  <c r="K279" i="20" s="1"/>
  <c r="P278" i="20"/>
  <c r="N278" i="20"/>
  <c r="L278" i="20"/>
  <c r="J278" i="20"/>
  <c r="H278" i="20"/>
  <c r="G278" i="20"/>
  <c r="F278" i="20"/>
  <c r="R278" i="20" s="1"/>
  <c r="I277" i="20"/>
  <c r="K277" i="20" s="1"/>
  <c r="M277" i="20" s="1"/>
  <c r="O277" i="20" s="1"/>
  <c r="Q277" i="20" s="1"/>
  <c r="R276" i="20"/>
  <c r="G276" i="20"/>
  <c r="I274" i="20"/>
  <c r="I273" i="20"/>
  <c r="K273" i="20" s="1"/>
  <c r="I272" i="20"/>
  <c r="R270" i="20"/>
  <c r="G270" i="20"/>
  <c r="I269" i="20"/>
  <c r="K269" i="20" s="1"/>
  <c r="M269" i="20" s="1"/>
  <c r="O269" i="20" s="1"/>
  <c r="Q269" i="20" s="1"/>
  <c r="I268" i="20"/>
  <c r="K268" i="20" s="1"/>
  <c r="M268" i="20" s="1"/>
  <c r="O268" i="20" s="1"/>
  <c r="Q268" i="20" s="1"/>
  <c r="I267" i="20"/>
  <c r="K267" i="20" s="1"/>
  <c r="M267" i="20" s="1"/>
  <c r="O267" i="20" s="1"/>
  <c r="Q267" i="20" s="1"/>
  <c r="I266" i="20"/>
  <c r="K266" i="20" s="1"/>
  <c r="M266" i="20" s="1"/>
  <c r="O266" i="20" s="1"/>
  <c r="Q266" i="20" s="1"/>
  <c r="I265" i="20"/>
  <c r="K265" i="20" s="1"/>
  <c r="M265" i="20" s="1"/>
  <c r="O265" i="20" s="1"/>
  <c r="Q265" i="20" s="1"/>
  <c r="I264" i="20"/>
  <c r="K264" i="20" s="1"/>
  <c r="M264" i="20" s="1"/>
  <c r="O264" i="20" s="1"/>
  <c r="Q264" i="20" s="1"/>
  <c r="I263" i="20"/>
  <c r="K263" i="20" s="1"/>
  <c r="M263" i="20" s="1"/>
  <c r="O263" i="20" s="1"/>
  <c r="Q263" i="20" s="1"/>
  <c r="I262" i="20"/>
  <c r="K262" i="20" s="1"/>
  <c r="M262" i="20" s="1"/>
  <c r="O262" i="20" s="1"/>
  <c r="Q262" i="20" s="1"/>
  <c r="I261" i="20"/>
  <c r="K261" i="20" s="1"/>
  <c r="M261" i="20" s="1"/>
  <c r="O261" i="20" s="1"/>
  <c r="Q261" i="20" s="1"/>
  <c r="I260" i="20"/>
  <c r="K260" i="20"/>
  <c r="M260" i="20" s="1"/>
  <c r="O260" i="20" s="1"/>
  <c r="Q260" i="20" s="1"/>
  <c r="I259" i="20"/>
  <c r="K259" i="20" s="1"/>
  <c r="G256" i="20"/>
  <c r="Q249" i="20"/>
  <c r="P249" i="20"/>
  <c r="O249" i="20"/>
  <c r="N249" i="20"/>
  <c r="R249" i="20" s="1"/>
  <c r="M249" i="20"/>
  <c r="L249" i="20"/>
  <c r="K249" i="20"/>
  <c r="J249" i="20"/>
  <c r="I249" i="20"/>
  <c r="H249" i="20"/>
  <c r="G249" i="20"/>
  <c r="F249" i="20"/>
  <c r="R247" i="20"/>
  <c r="Q247" i="20"/>
  <c r="O247" i="20"/>
  <c r="M247" i="20"/>
  <c r="K247" i="20"/>
  <c r="I247" i="20"/>
  <c r="G247" i="20"/>
  <c r="R245" i="20"/>
  <c r="G240" i="20"/>
  <c r="G239" i="20"/>
  <c r="Q239" i="20"/>
  <c r="P239" i="20"/>
  <c r="O239" i="20"/>
  <c r="N239" i="20"/>
  <c r="R239" i="20" s="1"/>
  <c r="M239" i="20"/>
  <c r="L239" i="20"/>
  <c r="K239" i="20"/>
  <c r="J239" i="20"/>
  <c r="I239" i="20"/>
  <c r="H239" i="20"/>
  <c r="F239" i="20"/>
  <c r="Q234" i="20"/>
  <c r="Q252" i="20" s="1"/>
  <c r="P234" i="20"/>
  <c r="O234" i="20"/>
  <c r="N234" i="20"/>
  <c r="R234" i="20" s="1"/>
  <c r="M234" i="20"/>
  <c r="L234" i="20"/>
  <c r="K234" i="20"/>
  <c r="J234" i="20"/>
  <c r="I234" i="20"/>
  <c r="H234" i="20"/>
  <c r="G234" i="20"/>
  <c r="F234" i="20"/>
  <c r="R232" i="20"/>
  <c r="I232" i="20"/>
  <c r="G232" i="20"/>
  <c r="Q229" i="20"/>
  <c r="P229" i="20"/>
  <c r="O229" i="20"/>
  <c r="N229" i="20"/>
  <c r="M229" i="20"/>
  <c r="L229" i="20"/>
  <c r="K229" i="20"/>
  <c r="J229" i="20"/>
  <c r="I229" i="20"/>
  <c r="H229" i="20"/>
  <c r="G229" i="20"/>
  <c r="F229" i="20"/>
  <c r="Q226" i="20"/>
  <c r="P226" i="20"/>
  <c r="O226" i="20"/>
  <c r="N226" i="20"/>
  <c r="M226" i="20"/>
  <c r="L226" i="20"/>
  <c r="K226" i="20"/>
  <c r="J226" i="20"/>
  <c r="I226" i="20"/>
  <c r="H226" i="20"/>
  <c r="G226" i="20"/>
  <c r="F226" i="20"/>
  <c r="Q224" i="20"/>
  <c r="P224" i="20"/>
  <c r="O224" i="20"/>
  <c r="N224" i="20"/>
  <c r="M224" i="20"/>
  <c r="L224" i="20"/>
  <c r="K224" i="20"/>
  <c r="J224" i="20"/>
  <c r="I224" i="20"/>
  <c r="H224" i="20"/>
  <c r="G224" i="20"/>
  <c r="F224" i="20"/>
  <c r="Q222" i="20"/>
  <c r="P222" i="20"/>
  <c r="O222" i="20"/>
  <c r="N222" i="20"/>
  <c r="M222" i="20"/>
  <c r="L222" i="20"/>
  <c r="K222" i="20"/>
  <c r="J222" i="20"/>
  <c r="I222" i="20"/>
  <c r="H222" i="20"/>
  <c r="G222" i="20"/>
  <c r="F222" i="20"/>
  <c r="R219" i="20"/>
  <c r="R218" i="20"/>
  <c r="Q218" i="20"/>
  <c r="O218" i="20"/>
  <c r="M218" i="20"/>
  <c r="K218" i="20"/>
  <c r="I218" i="20"/>
  <c r="G218" i="20"/>
  <c r="P217" i="20"/>
  <c r="P216" i="20" s="1"/>
  <c r="N217" i="20"/>
  <c r="N216" i="20" s="1"/>
  <c r="L217" i="20"/>
  <c r="L216" i="20" s="1"/>
  <c r="J217" i="20"/>
  <c r="J216" i="20" s="1"/>
  <c r="H217" i="20"/>
  <c r="H216" i="20" s="1"/>
  <c r="Q214" i="20"/>
  <c r="P214" i="20"/>
  <c r="O214" i="20"/>
  <c r="N214" i="20"/>
  <c r="M214" i="20"/>
  <c r="L214" i="20"/>
  <c r="K214" i="20"/>
  <c r="J214" i="20"/>
  <c r="I214" i="20"/>
  <c r="H214" i="20"/>
  <c r="G214" i="20"/>
  <c r="F214" i="20"/>
  <c r="R206" i="20"/>
  <c r="Q192" i="20"/>
  <c r="O192" i="20"/>
  <c r="M192" i="20"/>
  <c r="K192" i="20"/>
  <c r="I192" i="20"/>
  <c r="G192" i="20"/>
  <c r="R187" i="20"/>
  <c r="I187" i="20"/>
  <c r="K187" i="20" s="1"/>
  <c r="P186" i="20"/>
  <c r="N186" i="20"/>
  <c r="L186" i="20"/>
  <c r="J186" i="20"/>
  <c r="H186" i="20"/>
  <c r="G186" i="20"/>
  <c r="F186" i="20"/>
  <c r="R185" i="20"/>
  <c r="M185" i="20"/>
  <c r="I185" i="20"/>
  <c r="R184" i="20"/>
  <c r="M184" i="20"/>
  <c r="G184" i="20"/>
  <c r="R183" i="20"/>
  <c r="I183" i="20"/>
  <c r="K183" i="20" s="1"/>
  <c r="M183" i="20" s="1"/>
  <c r="O183" i="20" s="1"/>
  <c r="Q183" i="20" s="1"/>
  <c r="R182" i="20"/>
  <c r="G182" i="20"/>
  <c r="I181" i="20"/>
  <c r="K181" i="20" s="1"/>
  <c r="M181" i="20" s="1"/>
  <c r="O181" i="20" s="1"/>
  <c r="Q181" i="20" s="1"/>
  <c r="R180" i="20"/>
  <c r="G180" i="20"/>
  <c r="I180" i="20" s="1"/>
  <c r="K180" i="20" s="1"/>
  <c r="M180" i="20" s="1"/>
  <c r="O180" i="20" s="1"/>
  <c r="Q180" i="20" s="1"/>
  <c r="I179" i="20"/>
  <c r="K179" i="20" s="1"/>
  <c r="M179" i="20" s="1"/>
  <c r="O179" i="20" s="1"/>
  <c r="Q179" i="20" s="1"/>
  <c r="R178" i="20"/>
  <c r="G178" i="20"/>
  <c r="I177" i="20"/>
  <c r="K177" i="20" s="1"/>
  <c r="M177" i="20" s="1"/>
  <c r="O177" i="20" s="1"/>
  <c r="Q177" i="20" s="1"/>
  <c r="R176" i="20"/>
  <c r="G176" i="20"/>
  <c r="I175" i="20"/>
  <c r="K175" i="20"/>
  <c r="M175" i="20" s="1"/>
  <c r="O175" i="20" s="1"/>
  <c r="Q175" i="20" s="1"/>
  <c r="I174" i="20"/>
  <c r="K174" i="20" s="1"/>
  <c r="M174" i="20" s="1"/>
  <c r="O174" i="20" s="1"/>
  <c r="Q174" i="20" s="1"/>
  <c r="R173" i="20"/>
  <c r="G173" i="20"/>
  <c r="I172" i="20"/>
  <c r="K172" i="20" s="1"/>
  <c r="M172" i="20" s="1"/>
  <c r="O172" i="20" s="1"/>
  <c r="Q172" i="20" s="1"/>
  <c r="R171" i="20"/>
  <c r="G171" i="20"/>
  <c r="I171" i="20" s="1"/>
  <c r="K171" i="20" s="1"/>
  <c r="M171" i="20" s="1"/>
  <c r="O171" i="20" s="1"/>
  <c r="Q171" i="20" s="1"/>
  <c r="I170" i="20"/>
  <c r="K170" i="20" s="1"/>
  <c r="M170" i="20" s="1"/>
  <c r="O170" i="20" s="1"/>
  <c r="Q170" i="20" s="1"/>
  <c r="I169" i="20"/>
  <c r="K169" i="20" s="1"/>
  <c r="M169" i="20" s="1"/>
  <c r="O169" i="20" s="1"/>
  <c r="Q169" i="20" s="1"/>
  <c r="R168" i="20"/>
  <c r="G168" i="20"/>
  <c r="R167" i="20"/>
  <c r="I167" i="20"/>
  <c r="K167" i="20" s="1"/>
  <c r="M167" i="20" s="1"/>
  <c r="O167" i="20" s="1"/>
  <c r="Q167" i="20" s="1"/>
  <c r="R166" i="20"/>
  <c r="G166" i="20"/>
  <c r="I166" i="20" s="1"/>
  <c r="K166" i="20" s="1"/>
  <c r="M166" i="20" s="1"/>
  <c r="O166" i="20" s="1"/>
  <c r="Q166" i="20" s="1"/>
  <c r="R165" i="20"/>
  <c r="I165" i="20"/>
  <c r="K165" i="20"/>
  <c r="M165" i="20" s="1"/>
  <c r="O165" i="20" s="1"/>
  <c r="Q165" i="20" s="1"/>
  <c r="R164" i="20"/>
  <c r="G164" i="20"/>
  <c r="I164" i="20" s="1"/>
  <c r="K164" i="20" s="1"/>
  <c r="M164" i="20" s="1"/>
  <c r="O164" i="20" s="1"/>
  <c r="Q164" i="20" s="1"/>
  <c r="R163" i="20"/>
  <c r="I163" i="20"/>
  <c r="K163" i="20" s="1"/>
  <c r="R162" i="20"/>
  <c r="M162" i="20"/>
  <c r="O162" i="20" s="1"/>
  <c r="Q162" i="20" s="1"/>
  <c r="I162" i="20"/>
  <c r="R161" i="20"/>
  <c r="G161" i="20"/>
  <c r="R160" i="20"/>
  <c r="I160" i="20"/>
  <c r="K160" i="20" s="1"/>
  <c r="M160" i="20" s="1"/>
  <c r="O160" i="20" s="1"/>
  <c r="Q160" i="20" s="1"/>
  <c r="R159" i="20"/>
  <c r="I159" i="20"/>
  <c r="K159" i="20" s="1"/>
  <c r="M159" i="20" s="1"/>
  <c r="O159" i="20" s="1"/>
  <c r="Q159" i="20" s="1"/>
  <c r="R158" i="20"/>
  <c r="I158" i="20"/>
  <c r="K158" i="20" s="1"/>
  <c r="M158" i="20" s="1"/>
  <c r="O158" i="20" s="1"/>
  <c r="Q158" i="20" s="1"/>
  <c r="R157" i="20"/>
  <c r="I157" i="20"/>
  <c r="K157" i="20" s="1"/>
  <c r="M157" i="20" s="1"/>
  <c r="O157" i="20" s="1"/>
  <c r="Q157" i="20" s="1"/>
  <c r="R156" i="20"/>
  <c r="I156" i="20"/>
  <c r="K156" i="20" s="1"/>
  <c r="M156" i="20" s="1"/>
  <c r="O156" i="20" s="1"/>
  <c r="Q156" i="20" s="1"/>
  <c r="R155" i="20"/>
  <c r="I155" i="20"/>
  <c r="K155" i="20" s="1"/>
  <c r="M155" i="20" s="1"/>
  <c r="O155" i="20" s="1"/>
  <c r="Q155" i="20" s="1"/>
  <c r="R154" i="20"/>
  <c r="I154" i="20"/>
  <c r="K154" i="20" s="1"/>
  <c r="M154" i="20" s="1"/>
  <c r="O154" i="20" s="1"/>
  <c r="Q154" i="20" s="1"/>
  <c r="R153" i="20"/>
  <c r="I153" i="20"/>
  <c r="K153" i="20" s="1"/>
  <c r="M153" i="20" s="1"/>
  <c r="O153" i="20" s="1"/>
  <c r="Q153" i="20" s="1"/>
  <c r="R152" i="20"/>
  <c r="I152" i="20"/>
  <c r="K152" i="20" s="1"/>
  <c r="M152" i="20" s="1"/>
  <c r="O152" i="20" s="1"/>
  <c r="Q152" i="20" s="1"/>
  <c r="R151" i="20"/>
  <c r="I151" i="20"/>
  <c r="K151" i="20" s="1"/>
  <c r="M151" i="20" s="1"/>
  <c r="O151" i="20" s="1"/>
  <c r="Q151" i="20" s="1"/>
  <c r="R150" i="20"/>
  <c r="I150" i="20"/>
  <c r="K150" i="20" s="1"/>
  <c r="M150" i="20" s="1"/>
  <c r="O150" i="20" s="1"/>
  <c r="Q150" i="20" s="1"/>
  <c r="R149" i="20"/>
  <c r="I149" i="20"/>
  <c r="K149" i="20" s="1"/>
  <c r="M149" i="20" s="1"/>
  <c r="O149" i="20" s="1"/>
  <c r="Q149" i="20" s="1"/>
  <c r="R148" i="20"/>
  <c r="G148" i="20"/>
  <c r="I148" i="20" s="1"/>
  <c r="R147" i="20"/>
  <c r="R144" i="20"/>
  <c r="M144" i="20"/>
  <c r="O144" i="20" s="1"/>
  <c r="Q144" i="20" s="1"/>
  <c r="R143" i="20"/>
  <c r="M143" i="20"/>
  <c r="O143" i="20" s="1"/>
  <c r="Q143" i="20" s="1"/>
  <c r="R142" i="20"/>
  <c r="G142" i="20"/>
  <c r="R141" i="20"/>
  <c r="M141" i="20"/>
  <c r="O141" i="20"/>
  <c r="R140" i="20"/>
  <c r="M140" i="20"/>
  <c r="R139" i="20"/>
  <c r="M139" i="20"/>
  <c r="O139" i="20" s="1"/>
  <c r="R138" i="20"/>
  <c r="M138" i="20"/>
  <c r="R137" i="20"/>
  <c r="M137" i="20"/>
  <c r="O137" i="20" s="1"/>
  <c r="R136" i="20"/>
  <c r="M136" i="20"/>
  <c r="R135" i="20"/>
  <c r="M135" i="20"/>
  <c r="R134" i="20"/>
  <c r="M134" i="20"/>
  <c r="R133" i="20"/>
  <c r="M133" i="20"/>
  <c r="R132" i="20"/>
  <c r="R131" i="20"/>
  <c r="M131" i="20"/>
  <c r="R130" i="20"/>
  <c r="M130" i="20"/>
  <c r="K129" i="20"/>
  <c r="I129" i="20"/>
  <c r="R127" i="20"/>
  <c r="M127" i="20"/>
  <c r="O127" i="20" s="1"/>
  <c r="Q127" i="20" s="1"/>
  <c r="R126" i="20"/>
  <c r="M126" i="20"/>
  <c r="R125" i="20"/>
  <c r="M125" i="20"/>
  <c r="R124" i="20"/>
  <c r="M124" i="20"/>
  <c r="R123" i="20"/>
  <c r="M123" i="20"/>
  <c r="R122" i="20"/>
  <c r="M122" i="20"/>
  <c r="R121" i="20"/>
  <c r="R120" i="20"/>
  <c r="M120" i="20"/>
  <c r="O120" i="20" s="1"/>
  <c r="Q120" i="20" s="1"/>
  <c r="R119" i="20"/>
  <c r="M119" i="20"/>
  <c r="O119" i="20" s="1"/>
  <c r="K118" i="20"/>
  <c r="I118" i="20"/>
  <c r="G118" i="20"/>
  <c r="R116" i="20"/>
  <c r="M116" i="20"/>
  <c r="O116" i="20" s="1"/>
  <c r="Q116" i="20" s="1"/>
  <c r="R115" i="20"/>
  <c r="M115" i="20"/>
  <c r="R114" i="20"/>
  <c r="M114" i="20"/>
  <c r="R113" i="20"/>
  <c r="M113" i="20"/>
  <c r="R112" i="20"/>
  <c r="G112" i="20"/>
  <c r="R111" i="20"/>
  <c r="M111" i="20"/>
  <c r="R110" i="20"/>
  <c r="M110" i="20"/>
  <c r="R109" i="20"/>
  <c r="M109" i="20"/>
  <c r="R108" i="20"/>
  <c r="M108" i="20"/>
  <c r="R107" i="20"/>
  <c r="R106" i="20"/>
  <c r="M106" i="20"/>
  <c r="O106" i="20" s="1"/>
  <c r="Q106" i="20" s="1"/>
  <c r="R104" i="20"/>
  <c r="M104" i="20"/>
  <c r="O104" i="20" s="1"/>
  <c r="Q104" i="20" s="1"/>
  <c r="R103" i="20"/>
  <c r="R102" i="20"/>
  <c r="R101" i="20"/>
  <c r="M101" i="20"/>
  <c r="R100" i="20"/>
  <c r="M100" i="20"/>
  <c r="O100" i="20" s="1"/>
  <c r="K99" i="20"/>
  <c r="I99" i="20"/>
  <c r="R97" i="20"/>
  <c r="M97" i="20"/>
  <c r="O97" i="20" s="1"/>
  <c r="Q97" i="20" s="1"/>
  <c r="R96" i="20"/>
  <c r="M96" i="20"/>
  <c r="R95" i="20"/>
  <c r="M95" i="20"/>
  <c r="R94" i="20"/>
  <c r="M94" i="20"/>
  <c r="R93" i="20"/>
  <c r="M93" i="20"/>
  <c r="R92" i="20"/>
  <c r="M92" i="20"/>
  <c r="R91" i="20"/>
  <c r="M91" i="20"/>
  <c r="R90" i="20"/>
  <c r="M90" i="20"/>
  <c r="R89" i="20"/>
  <c r="M89" i="20"/>
  <c r="R88" i="20"/>
  <c r="M88" i="20"/>
  <c r="R87" i="20"/>
  <c r="M87" i="20"/>
  <c r="O87" i="20" s="1"/>
  <c r="Q87" i="20" s="1"/>
  <c r="R86" i="20"/>
  <c r="M86" i="20"/>
  <c r="R85" i="20"/>
  <c r="R84" i="20"/>
  <c r="G84" i="20"/>
  <c r="G81" i="20" s="1"/>
  <c r="R83" i="20"/>
  <c r="M83" i="20"/>
  <c r="O83" i="20" s="1"/>
  <c r="Q83" i="20" s="1"/>
  <c r="R82" i="20"/>
  <c r="M82" i="20"/>
  <c r="K81" i="20"/>
  <c r="I81" i="20"/>
  <c r="R79" i="20"/>
  <c r="K79" i="20"/>
  <c r="R78" i="20"/>
  <c r="K78" i="20"/>
  <c r="M78" i="20" s="1"/>
  <c r="R77" i="20"/>
  <c r="K77" i="20"/>
  <c r="R76" i="20"/>
  <c r="K76" i="20"/>
  <c r="R75" i="20"/>
  <c r="K75" i="20"/>
  <c r="R74" i="20"/>
  <c r="K74" i="20"/>
  <c r="G74" i="20"/>
  <c r="R73" i="20"/>
  <c r="K73" i="20"/>
  <c r="R72" i="20"/>
  <c r="K72" i="20"/>
  <c r="M72" i="20" s="1"/>
  <c r="R71" i="20"/>
  <c r="K71" i="20"/>
  <c r="R70" i="20"/>
  <c r="K70" i="20"/>
  <c r="R69" i="20"/>
  <c r="K69" i="20"/>
  <c r="R68" i="20"/>
  <c r="K68" i="20"/>
  <c r="M68" i="20" s="1"/>
  <c r="O68" i="20" s="1"/>
  <c r="Q68" i="20" s="1"/>
  <c r="R67" i="20"/>
  <c r="K67" i="20"/>
  <c r="R66" i="20"/>
  <c r="K66" i="20"/>
  <c r="R65" i="20"/>
  <c r="R64" i="20"/>
  <c r="K64" i="20"/>
  <c r="M64" i="20" s="1"/>
  <c r="O64" i="20" s="1"/>
  <c r="Q64" i="20" s="1"/>
  <c r="R63" i="20"/>
  <c r="K63" i="20"/>
  <c r="I62" i="20"/>
  <c r="R58" i="20"/>
  <c r="Q58" i="20"/>
  <c r="O58" i="20"/>
  <c r="M58" i="20"/>
  <c r="K58" i="20"/>
  <c r="K60" i="20" s="1"/>
  <c r="I58" i="20"/>
  <c r="G58" i="20"/>
  <c r="M57" i="20"/>
  <c r="M56" i="20" s="1"/>
  <c r="R56" i="20"/>
  <c r="Q56" i="20"/>
  <c r="P56" i="20"/>
  <c r="O56" i="20"/>
  <c r="N56" i="20"/>
  <c r="K56" i="20"/>
  <c r="J56" i="20"/>
  <c r="I56" i="20"/>
  <c r="G56" i="20"/>
  <c r="G60" i="20" s="1"/>
  <c r="F56" i="20"/>
  <c r="R54" i="20"/>
  <c r="Q54" i="20"/>
  <c r="O54" i="20"/>
  <c r="M54" i="20"/>
  <c r="K54" i="20"/>
  <c r="I54" i="20"/>
  <c r="G54" i="20"/>
  <c r="R52" i="20"/>
  <c r="Q52" i="20"/>
  <c r="O52" i="20"/>
  <c r="M52" i="20"/>
  <c r="K52" i="20"/>
  <c r="I52" i="20"/>
  <c r="G52" i="20"/>
  <c r="R49" i="20"/>
  <c r="Q49" i="20"/>
  <c r="O49" i="20"/>
  <c r="M49" i="20"/>
  <c r="K49" i="20"/>
  <c r="I49" i="20"/>
  <c r="G49" i="20"/>
  <c r="R47" i="20"/>
  <c r="Q47" i="20"/>
  <c r="O47" i="20"/>
  <c r="M47" i="20"/>
  <c r="K47" i="20"/>
  <c r="I47" i="20"/>
  <c r="G47" i="20"/>
  <c r="R33" i="20"/>
  <c r="R32" i="20"/>
  <c r="R30" i="20"/>
  <c r="Q30" i="20"/>
  <c r="O30" i="20"/>
  <c r="M30" i="20"/>
  <c r="K30" i="20"/>
  <c r="I30" i="20"/>
  <c r="G30" i="20"/>
  <c r="Q28" i="20"/>
  <c r="O28" i="20"/>
  <c r="M28" i="20"/>
  <c r="K28" i="20"/>
  <c r="I28" i="20"/>
  <c r="G28" i="20"/>
  <c r="F28" i="20"/>
  <c r="R28" i="20"/>
  <c r="R21" i="20"/>
  <c r="Q21" i="20"/>
  <c r="O21" i="20"/>
  <c r="M21" i="20"/>
  <c r="K21" i="20"/>
  <c r="I21" i="20"/>
  <c r="G21" i="20"/>
  <c r="Q7" i="20"/>
  <c r="O7" i="20"/>
  <c r="M7" i="20"/>
  <c r="K7" i="20"/>
  <c r="I7" i="20"/>
  <c r="G7" i="20"/>
  <c r="L238" i="23"/>
  <c r="L316" i="23" s="1"/>
  <c r="N238" i="23"/>
  <c r="P238" i="23"/>
  <c r="R238" i="23"/>
  <c r="T238" i="23"/>
  <c r="T316" i="23" s="1"/>
  <c r="V238" i="23"/>
  <c r="W499" i="23"/>
  <c r="W186" i="16"/>
  <c r="W185" i="16"/>
  <c r="V185" i="16"/>
  <c r="T185" i="16"/>
  <c r="R185" i="16"/>
  <c r="P185" i="16"/>
  <c r="N185" i="16"/>
  <c r="L185" i="16"/>
  <c r="W184" i="16"/>
  <c r="W183" i="16"/>
  <c r="V183" i="16"/>
  <c r="T183" i="16"/>
  <c r="R183" i="16"/>
  <c r="P183" i="16"/>
  <c r="N183" i="16"/>
  <c r="L183" i="16"/>
  <c r="W158" i="23"/>
  <c r="V441" i="16"/>
  <c r="V471" i="16" s="1"/>
  <c r="U441" i="16"/>
  <c r="T441" i="16"/>
  <c r="S441" i="16"/>
  <c r="R441" i="16"/>
  <c r="R471" i="16" s="1"/>
  <c r="Q441" i="16"/>
  <c r="P441" i="16"/>
  <c r="O441" i="16"/>
  <c r="N441" i="16"/>
  <c r="M441" i="16"/>
  <c r="L441" i="16"/>
  <c r="K441" i="16"/>
  <c r="J441" i="16"/>
  <c r="W1113" i="16"/>
  <c r="L1125" i="16"/>
  <c r="L1154" i="16" s="1"/>
  <c r="N1125" i="16"/>
  <c r="N1154" i="16" s="1"/>
  <c r="P1125" i="16"/>
  <c r="P1154" i="16" s="1"/>
  <c r="R1125" i="16"/>
  <c r="R1154" i="16" s="1"/>
  <c r="T1125" i="16"/>
  <c r="T1154" i="16"/>
  <c r="V1125" i="16"/>
  <c r="V1154" i="16" s="1"/>
  <c r="W1128" i="16"/>
  <c r="W1153" i="16"/>
  <c r="L964" i="16"/>
  <c r="N964" i="16"/>
  <c r="P964" i="16"/>
  <c r="R964" i="16"/>
  <c r="T964" i="16"/>
  <c r="V964" i="16"/>
  <c r="L990" i="16"/>
  <c r="N990" i="16"/>
  <c r="P990" i="16"/>
  <c r="R990" i="16"/>
  <c r="T990" i="16"/>
  <c r="V990" i="16"/>
  <c r="W994" i="16"/>
  <c r="L1000" i="16"/>
  <c r="N1000" i="16"/>
  <c r="P1000" i="16"/>
  <c r="R1000" i="16"/>
  <c r="T1000" i="16"/>
  <c r="V1000" i="16"/>
  <c r="L1002" i="16"/>
  <c r="N1002" i="16"/>
  <c r="P1002" i="16"/>
  <c r="R1002" i="16"/>
  <c r="T1002" i="16"/>
  <c r="V1002" i="16"/>
  <c r="L1004" i="16"/>
  <c r="N1004" i="16"/>
  <c r="P1004" i="16"/>
  <c r="R1004" i="16"/>
  <c r="T1004" i="16"/>
  <c r="V1004" i="16"/>
  <c r="W1004" i="16"/>
  <c r="W1015" i="16"/>
  <c r="L1016" i="16"/>
  <c r="N1016" i="16"/>
  <c r="P1016" i="16"/>
  <c r="R1016" i="16"/>
  <c r="T1016" i="16"/>
  <c r="V1016" i="16"/>
  <c r="L1030" i="16"/>
  <c r="N1030" i="16"/>
  <c r="P1030" i="16"/>
  <c r="R1030" i="16"/>
  <c r="T1030" i="16"/>
  <c r="V1030" i="16"/>
  <c r="W1030" i="16"/>
  <c r="L1056" i="16"/>
  <c r="N1056" i="16"/>
  <c r="P1056" i="16"/>
  <c r="R1056" i="16"/>
  <c r="T1056" i="16"/>
  <c r="V1056" i="16"/>
  <c r="L1058" i="16"/>
  <c r="N1058" i="16"/>
  <c r="P1058" i="16"/>
  <c r="R1058" i="16"/>
  <c r="T1058" i="16"/>
  <c r="V1058" i="16"/>
  <c r="L1060" i="16"/>
  <c r="N1060" i="16"/>
  <c r="P1060" i="16"/>
  <c r="R1060" i="16"/>
  <c r="T1060" i="16"/>
  <c r="V1060" i="16"/>
  <c r="L1064" i="16"/>
  <c r="N1064" i="16"/>
  <c r="P1064" i="16"/>
  <c r="R1064" i="16"/>
  <c r="T1064" i="16"/>
  <c r="V1064" i="16"/>
  <c r="L1065" i="16"/>
  <c r="N1065" i="16"/>
  <c r="P1065" i="16"/>
  <c r="R1065" i="16"/>
  <c r="T1065" i="16"/>
  <c r="V1065" i="16"/>
  <c r="L1066" i="16"/>
  <c r="N1066" i="16"/>
  <c r="P1066" i="16"/>
  <c r="R1066" i="16"/>
  <c r="T1066" i="16"/>
  <c r="V1066" i="16"/>
  <c r="L1067" i="16"/>
  <c r="N1067" i="16"/>
  <c r="P1067" i="16"/>
  <c r="R1067" i="16"/>
  <c r="T1067" i="16"/>
  <c r="V1067" i="16"/>
  <c r="L1092" i="16"/>
  <c r="N1092" i="16"/>
  <c r="P1092" i="16"/>
  <c r="R1092" i="16"/>
  <c r="T1092" i="16"/>
  <c r="V1092" i="16"/>
  <c r="L1097" i="16"/>
  <c r="N1097" i="16"/>
  <c r="P1097" i="16"/>
  <c r="R1097" i="16"/>
  <c r="T1097" i="16"/>
  <c r="V1097" i="16"/>
  <c r="L694" i="16"/>
  <c r="N694" i="16"/>
  <c r="P694" i="16"/>
  <c r="R694" i="16"/>
  <c r="T694" i="16"/>
  <c r="V694" i="16"/>
  <c r="L696" i="16"/>
  <c r="N696" i="16"/>
  <c r="P696" i="16"/>
  <c r="R696" i="16"/>
  <c r="T696" i="16"/>
  <c r="V696" i="16"/>
  <c r="L699" i="16"/>
  <c r="N699" i="16"/>
  <c r="P699" i="16"/>
  <c r="R699" i="16"/>
  <c r="T699" i="16"/>
  <c r="V699" i="16"/>
  <c r="L703" i="16"/>
  <c r="N703" i="16"/>
  <c r="P703" i="16"/>
  <c r="R703" i="16"/>
  <c r="T703" i="16"/>
  <c r="V703" i="16"/>
  <c r="L707" i="16"/>
  <c r="N707" i="16"/>
  <c r="P707" i="16"/>
  <c r="R707" i="16"/>
  <c r="T707" i="16"/>
  <c r="V707" i="16"/>
  <c r="L710" i="16"/>
  <c r="N710" i="16"/>
  <c r="P710" i="16"/>
  <c r="R710" i="16"/>
  <c r="T710" i="16"/>
  <c r="V710" i="16"/>
  <c r="L714" i="16"/>
  <c r="L722" i="16"/>
  <c r="N722" i="16"/>
  <c r="P722" i="16"/>
  <c r="R722" i="16"/>
  <c r="T722" i="16"/>
  <c r="V722" i="16"/>
  <c r="L736" i="16"/>
  <c r="N736" i="16"/>
  <c r="P736" i="16"/>
  <c r="R736" i="16"/>
  <c r="T736" i="16"/>
  <c r="V736" i="16"/>
  <c r="L755" i="16"/>
  <c r="N755" i="16"/>
  <c r="P755" i="16"/>
  <c r="R755" i="16"/>
  <c r="T755" i="16"/>
  <c r="V755" i="16"/>
  <c r="W755" i="16"/>
  <c r="L757" i="16"/>
  <c r="N757" i="16"/>
  <c r="P757" i="16"/>
  <c r="R757" i="16"/>
  <c r="T757" i="16"/>
  <c r="V757" i="16"/>
  <c r="L767" i="16"/>
  <c r="N767" i="16"/>
  <c r="P767" i="16"/>
  <c r="P815" i="16" s="1"/>
  <c r="R767" i="16"/>
  <c r="T767" i="16"/>
  <c r="V767" i="16"/>
  <c r="L773" i="16"/>
  <c r="N773" i="16"/>
  <c r="P773" i="16"/>
  <c r="R773" i="16"/>
  <c r="T773" i="16"/>
  <c r="V773" i="16"/>
  <c r="L779" i="16"/>
  <c r="N779" i="16"/>
  <c r="P779" i="16"/>
  <c r="R779" i="16"/>
  <c r="T779" i="16"/>
  <c r="V779" i="16"/>
  <c r="L785" i="16"/>
  <c r="N785" i="16"/>
  <c r="P785" i="16"/>
  <c r="R785" i="16"/>
  <c r="T785" i="16"/>
  <c r="V785" i="16"/>
  <c r="L800" i="16"/>
  <c r="N800" i="16"/>
  <c r="P800" i="16"/>
  <c r="R800" i="16"/>
  <c r="T800" i="16"/>
  <c r="V800" i="16"/>
  <c r="L808" i="16"/>
  <c r="N808" i="16"/>
  <c r="P808" i="16"/>
  <c r="R808" i="16"/>
  <c r="T808" i="16"/>
  <c r="V808" i="16"/>
  <c r="L810" i="16"/>
  <c r="N810" i="16"/>
  <c r="P810" i="16"/>
  <c r="R810" i="16"/>
  <c r="T810" i="16"/>
  <c r="V810" i="16"/>
  <c r="L812" i="16"/>
  <c r="N812" i="16"/>
  <c r="P812" i="16"/>
  <c r="R812" i="16"/>
  <c r="T812" i="16"/>
  <c r="V812" i="16"/>
  <c r="L823" i="16"/>
  <c r="N823" i="16"/>
  <c r="P823" i="16"/>
  <c r="R823" i="16"/>
  <c r="T823" i="16"/>
  <c r="V823" i="16"/>
  <c r="L837" i="16"/>
  <c r="N837" i="16"/>
  <c r="P837" i="16"/>
  <c r="R837" i="16"/>
  <c r="T837" i="16"/>
  <c r="V837" i="16"/>
  <c r="L846" i="16"/>
  <c r="N846" i="16"/>
  <c r="P846" i="16"/>
  <c r="R846" i="16"/>
  <c r="T846" i="16"/>
  <c r="V846" i="16"/>
  <c r="L848" i="16"/>
  <c r="N848" i="16"/>
  <c r="P848" i="16"/>
  <c r="R848" i="16"/>
  <c r="T848" i="16"/>
  <c r="V848" i="16"/>
  <c r="L866" i="16"/>
  <c r="N866" i="16"/>
  <c r="P866" i="16"/>
  <c r="R866" i="16"/>
  <c r="T866" i="16"/>
  <c r="V866" i="16"/>
  <c r="N854" i="16"/>
  <c r="P854" i="16"/>
  <c r="R854" i="16"/>
  <c r="T854" i="16"/>
  <c r="V854" i="16"/>
  <c r="L877" i="16"/>
  <c r="N877" i="16"/>
  <c r="P877" i="16"/>
  <c r="R877" i="16"/>
  <c r="T877" i="16"/>
  <c r="V877" i="16"/>
  <c r="L882" i="16"/>
  <c r="L881" i="16" s="1"/>
  <c r="N882" i="16"/>
  <c r="N881" i="16" s="1"/>
  <c r="P882" i="16"/>
  <c r="P881" i="16" s="1"/>
  <c r="R882" i="16"/>
  <c r="R881" i="16" s="1"/>
  <c r="T882" i="16"/>
  <c r="T881" i="16" s="1"/>
  <c r="V882" i="16"/>
  <c r="V881" i="16" s="1"/>
  <c r="L886" i="16"/>
  <c r="N886" i="16"/>
  <c r="P886" i="16"/>
  <c r="R886" i="16"/>
  <c r="R885" i="16" s="1"/>
  <c r="T886" i="16"/>
  <c r="V886" i="16"/>
  <c r="W886" i="16"/>
  <c r="L887" i="16"/>
  <c r="N887" i="16"/>
  <c r="P887" i="16"/>
  <c r="R887" i="16"/>
  <c r="T887" i="16"/>
  <c r="V887" i="16"/>
  <c r="W887" i="16"/>
  <c r="L888" i="16"/>
  <c r="N888" i="16"/>
  <c r="P888" i="16"/>
  <c r="R888" i="16"/>
  <c r="T888" i="16"/>
  <c r="V888" i="16"/>
  <c r="V885" i="16" s="1"/>
  <c r="W888" i="16"/>
  <c r="L889" i="16"/>
  <c r="N889" i="16"/>
  <c r="P889" i="16"/>
  <c r="P885" i="16" s="1"/>
  <c r="R889" i="16"/>
  <c r="T889" i="16"/>
  <c r="V889" i="16"/>
  <c r="W889" i="16"/>
  <c r="L890" i="16"/>
  <c r="N890" i="16"/>
  <c r="P890" i="16"/>
  <c r="R890" i="16"/>
  <c r="T890" i="16"/>
  <c r="V890" i="16"/>
  <c r="W890" i="16"/>
  <c r="L891" i="16"/>
  <c r="N891" i="16"/>
  <c r="P891" i="16"/>
  <c r="R891" i="16"/>
  <c r="T891" i="16"/>
  <c r="V891" i="16"/>
  <c r="W891" i="16"/>
  <c r="L892" i="16"/>
  <c r="P892" i="16"/>
  <c r="R892" i="16"/>
  <c r="T892" i="16"/>
  <c r="V892" i="16"/>
  <c r="W892" i="16"/>
  <c r="L893" i="16"/>
  <c r="P893" i="16"/>
  <c r="R893" i="16"/>
  <c r="T893" i="16"/>
  <c r="V893" i="16"/>
  <c r="W893" i="16"/>
  <c r="L894" i="16"/>
  <c r="N894" i="16"/>
  <c r="P894" i="16"/>
  <c r="R894" i="16"/>
  <c r="T894" i="16"/>
  <c r="V894" i="16"/>
  <c r="W894" i="16"/>
  <c r="L895" i="16"/>
  <c r="N895" i="16"/>
  <c r="P895" i="16"/>
  <c r="R895" i="16"/>
  <c r="T895" i="16"/>
  <c r="V895" i="16"/>
  <c r="W895" i="16"/>
  <c r="L896" i="16"/>
  <c r="N896" i="16"/>
  <c r="P896" i="16"/>
  <c r="R896" i="16"/>
  <c r="T896" i="16"/>
  <c r="V896" i="16"/>
  <c r="W896" i="16"/>
  <c r="L897" i="16"/>
  <c r="N897" i="16"/>
  <c r="P897" i="16"/>
  <c r="R897" i="16"/>
  <c r="T897" i="16"/>
  <c r="V897" i="16"/>
  <c r="W897" i="16"/>
  <c r="L898" i="16"/>
  <c r="N898" i="16"/>
  <c r="P898" i="16"/>
  <c r="R898" i="16"/>
  <c r="T898" i="16"/>
  <c r="V898" i="16"/>
  <c r="W898" i="16"/>
  <c r="W899" i="16"/>
  <c r="L900" i="16"/>
  <c r="N900" i="16"/>
  <c r="P900" i="16"/>
  <c r="R900" i="16"/>
  <c r="T900" i="16"/>
  <c r="V900" i="16"/>
  <c r="W900" i="16"/>
  <c r="L901" i="16"/>
  <c r="N901" i="16"/>
  <c r="P901" i="16"/>
  <c r="P899" i="16" s="1"/>
  <c r="R901" i="16"/>
  <c r="T901" i="16"/>
  <c r="V901" i="16"/>
  <c r="W901" i="16"/>
  <c r="L902" i="16"/>
  <c r="N902" i="16"/>
  <c r="P902" i="16"/>
  <c r="R902" i="16"/>
  <c r="T902" i="16"/>
  <c r="V902" i="16"/>
  <c r="W902" i="16"/>
  <c r="L903" i="16"/>
  <c r="L899" i="16" s="1"/>
  <c r="N903" i="16"/>
  <c r="P903" i="16"/>
  <c r="R903" i="16"/>
  <c r="T903" i="16"/>
  <c r="T899" i="16" s="1"/>
  <c r="V903" i="16"/>
  <c r="W903" i="16"/>
  <c r="L904" i="16"/>
  <c r="N904" i="16"/>
  <c r="P904" i="16"/>
  <c r="R904" i="16"/>
  <c r="T904" i="16"/>
  <c r="V904" i="16"/>
  <c r="W904" i="16"/>
  <c r="L905" i="16"/>
  <c r="N905" i="16"/>
  <c r="P905" i="16"/>
  <c r="R905" i="16"/>
  <c r="T905" i="16"/>
  <c r="V905" i="16"/>
  <c r="W905" i="16"/>
  <c r="L906" i="16"/>
  <c r="N906" i="16"/>
  <c r="W906" i="16"/>
  <c r="P907" i="16"/>
  <c r="P906" i="16" s="1"/>
  <c r="R907" i="16"/>
  <c r="R906" i="16" s="1"/>
  <c r="T907" i="16"/>
  <c r="T906" i="16"/>
  <c r="V907" i="16"/>
  <c r="V906" i="16" s="1"/>
  <c r="W907" i="16"/>
  <c r="J908" i="16"/>
  <c r="K908" i="16"/>
  <c r="M908" i="16"/>
  <c r="O908" i="16"/>
  <c r="Q908" i="16"/>
  <c r="S908" i="16"/>
  <c r="U908" i="16"/>
  <c r="L909" i="16"/>
  <c r="N909" i="16"/>
  <c r="P909" i="16"/>
  <c r="R909" i="16"/>
  <c r="T909" i="16"/>
  <c r="V909" i="16"/>
  <c r="L910" i="16"/>
  <c r="N910" i="16"/>
  <c r="P910" i="16"/>
  <c r="R910" i="16"/>
  <c r="T910" i="16"/>
  <c r="V910" i="16"/>
  <c r="P911" i="16"/>
  <c r="R911" i="16"/>
  <c r="T911" i="16"/>
  <c r="V911" i="16"/>
  <c r="L912" i="16"/>
  <c r="L911" i="16" s="1"/>
  <c r="N912" i="16"/>
  <c r="N911" i="16" s="1"/>
  <c r="W913" i="16"/>
  <c r="K914" i="16"/>
  <c r="W914" i="16" s="1"/>
  <c r="L914" i="16"/>
  <c r="N914" i="16"/>
  <c r="P914" i="16"/>
  <c r="R914" i="16"/>
  <c r="T914" i="16"/>
  <c r="V914" i="16"/>
  <c r="L915" i="16"/>
  <c r="N915" i="16"/>
  <c r="P915" i="16"/>
  <c r="R915" i="16"/>
  <c r="T915" i="16"/>
  <c r="V915" i="16"/>
  <c r="L916" i="16"/>
  <c r="N916" i="16"/>
  <c r="P916" i="16"/>
  <c r="R916" i="16"/>
  <c r="T916" i="16"/>
  <c r="V916" i="16"/>
  <c r="W916" i="16"/>
  <c r="W917" i="16"/>
  <c r="L918" i="16"/>
  <c r="N918" i="16"/>
  <c r="P918" i="16"/>
  <c r="R918" i="16"/>
  <c r="T918" i="16"/>
  <c r="W918" i="16"/>
  <c r="L919" i="16"/>
  <c r="N919" i="16"/>
  <c r="P919" i="16"/>
  <c r="R919" i="16"/>
  <c r="T919" i="16"/>
  <c r="V919" i="16"/>
  <c r="W919" i="16"/>
  <c r="L920" i="16"/>
  <c r="W920" i="16"/>
  <c r="W921" i="16"/>
  <c r="N922" i="16"/>
  <c r="P922" i="16"/>
  <c r="R922" i="16"/>
  <c r="T922" i="16"/>
  <c r="V922" i="16"/>
  <c r="W922" i="16"/>
  <c r="W923" i="16"/>
  <c r="L925" i="16"/>
  <c r="L924" i="16" s="1"/>
  <c r="N925" i="16"/>
  <c r="N924" i="16" s="1"/>
  <c r="P925" i="16"/>
  <c r="P924" i="16" s="1"/>
  <c r="R925" i="16"/>
  <c r="R924" i="16" s="1"/>
  <c r="T925" i="16"/>
  <c r="T924" i="16" s="1"/>
  <c r="V925" i="16"/>
  <c r="V924" i="16" s="1"/>
  <c r="L926" i="16"/>
  <c r="T926" i="16"/>
  <c r="V926" i="16"/>
  <c r="W926" i="16"/>
  <c r="N927" i="16"/>
  <c r="N926" i="16" s="1"/>
  <c r="P927" i="16"/>
  <c r="P926" i="16"/>
  <c r="R927" i="16"/>
  <c r="R926" i="16" s="1"/>
  <c r="L929" i="16"/>
  <c r="N929" i="16"/>
  <c r="P929" i="16"/>
  <c r="R929" i="16"/>
  <c r="T929" i="16"/>
  <c r="V929" i="16"/>
  <c r="L930" i="16"/>
  <c r="N930" i="16"/>
  <c r="P930" i="16"/>
  <c r="R930" i="16"/>
  <c r="T930" i="16"/>
  <c r="V930" i="16"/>
  <c r="L931" i="16"/>
  <c r="N931" i="16"/>
  <c r="P931" i="16"/>
  <c r="R931" i="16"/>
  <c r="T931" i="16"/>
  <c r="V931" i="16"/>
  <c r="L932" i="16"/>
  <c r="N932" i="16"/>
  <c r="P932" i="16"/>
  <c r="R932" i="16"/>
  <c r="T932" i="16"/>
  <c r="V932" i="16"/>
  <c r="L933" i="16"/>
  <c r="N933" i="16"/>
  <c r="P933" i="16"/>
  <c r="R933" i="16"/>
  <c r="T933" i="16"/>
  <c r="V933" i="16"/>
  <c r="L934" i="16"/>
  <c r="N934" i="16"/>
  <c r="P934" i="16"/>
  <c r="R934" i="16"/>
  <c r="T934" i="16"/>
  <c r="V934" i="16"/>
  <c r="L935" i="16"/>
  <c r="N935" i="16"/>
  <c r="P935" i="16"/>
  <c r="R935" i="16"/>
  <c r="T935" i="16"/>
  <c r="V935" i="16"/>
  <c r="L936" i="16"/>
  <c r="L937" i="16"/>
  <c r="N937" i="16"/>
  <c r="P937" i="16"/>
  <c r="R937" i="16"/>
  <c r="T937" i="16"/>
  <c r="N938" i="16"/>
  <c r="P938" i="16"/>
  <c r="R938" i="16"/>
  <c r="T938" i="16"/>
  <c r="V938" i="16"/>
  <c r="L939" i="16"/>
  <c r="W939" i="16"/>
  <c r="N940" i="16"/>
  <c r="P940" i="16"/>
  <c r="R940" i="16"/>
  <c r="T940" i="16"/>
  <c r="V940" i="16"/>
  <c r="N941" i="16"/>
  <c r="P941" i="16"/>
  <c r="R941" i="16"/>
  <c r="T941" i="16"/>
  <c r="V941" i="16"/>
  <c r="N943" i="16"/>
  <c r="P943" i="16"/>
  <c r="R943" i="16"/>
  <c r="T943" i="16"/>
  <c r="V943" i="16"/>
  <c r="N944" i="16"/>
  <c r="P944" i="16"/>
  <c r="R944" i="16"/>
  <c r="T944" i="16"/>
  <c r="V944" i="16"/>
  <c r="N946" i="16"/>
  <c r="P946" i="16"/>
  <c r="R946" i="16"/>
  <c r="T946" i="16"/>
  <c r="V946" i="16"/>
  <c r="J949" i="16"/>
  <c r="K949" i="16"/>
  <c r="M949" i="16"/>
  <c r="O949" i="16"/>
  <c r="Q949" i="16"/>
  <c r="S949" i="16"/>
  <c r="U949" i="16"/>
  <c r="L950" i="16"/>
  <c r="L949" i="16" s="1"/>
  <c r="N950" i="16"/>
  <c r="N949" i="16" s="1"/>
  <c r="P950" i="16"/>
  <c r="P949" i="16" s="1"/>
  <c r="R950" i="16"/>
  <c r="R949" i="16" s="1"/>
  <c r="T950" i="16"/>
  <c r="T949" i="16" s="1"/>
  <c r="V950" i="16"/>
  <c r="V949" i="16" s="1"/>
  <c r="W950" i="16"/>
  <c r="W951" i="16"/>
  <c r="L952" i="16"/>
  <c r="L951" i="16" s="1"/>
  <c r="N953" i="16"/>
  <c r="N951" i="16" s="1"/>
  <c r="P953" i="16"/>
  <c r="P951" i="16" s="1"/>
  <c r="R953" i="16"/>
  <c r="R951" i="16" s="1"/>
  <c r="T953" i="16"/>
  <c r="V953" i="16"/>
  <c r="V951" i="16" s="1"/>
  <c r="T954" i="16"/>
  <c r="W400" i="16"/>
  <c r="L401" i="16"/>
  <c r="N401" i="16"/>
  <c r="P401" i="16"/>
  <c r="R401" i="16"/>
  <c r="T401" i="16"/>
  <c r="V401" i="16"/>
  <c r="L415" i="16"/>
  <c r="N415" i="16"/>
  <c r="P415" i="16"/>
  <c r="R415" i="16"/>
  <c r="T415" i="16"/>
  <c r="V415" i="16"/>
  <c r="L436" i="16"/>
  <c r="N436" i="16"/>
  <c r="P436" i="16"/>
  <c r="R436" i="16"/>
  <c r="T436" i="16"/>
  <c r="V436" i="16"/>
  <c r="L438" i="16"/>
  <c r="N438" i="16"/>
  <c r="P438" i="16"/>
  <c r="R438" i="16"/>
  <c r="T438" i="16"/>
  <c r="V438" i="16"/>
  <c r="L446" i="16"/>
  <c r="R446" i="16"/>
  <c r="T446" i="16"/>
  <c r="V446" i="16"/>
  <c r="L449" i="16"/>
  <c r="R449" i="16"/>
  <c r="T449" i="16"/>
  <c r="V449" i="16"/>
  <c r="L451" i="16"/>
  <c r="R451" i="16"/>
  <c r="T451" i="16"/>
  <c r="V451" i="16"/>
  <c r="L453" i="16"/>
  <c r="R453" i="16"/>
  <c r="T453" i="16"/>
  <c r="V453" i="16"/>
  <c r="W483" i="16"/>
  <c r="W487" i="16"/>
  <c r="L558" i="16"/>
  <c r="N558" i="16"/>
  <c r="P558" i="16"/>
  <c r="R558" i="16"/>
  <c r="T558" i="16"/>
  <c r="V558" i="16"/>
  <c r="W575" i="16"/>
  <c r="L576" i="16"/>
  <c r="N576" i="16"/>
  <c r="P576" i="16"/>
  <c r="R576" i="16"/>
  <c r="T576" i="16"/>
  <c r="V576" i="16"/>
  <c r="L590" i="16"/>
  <c r="N590" i="16"/>
  <c r="P590" i="16"/>
  <c r="R590" i="16"/>
  <c r="T590" i="16"/>
  <c r="V590" i="16"/>
  <c r="L596" i="16"/>
  <c r="N596" i="16"/>
  <c r="P596" i="16"/>
  <c r="R596" i="16"/>
  <c r="T596" i="16"/>
  <c r="V596" i="16"/>
  <c r="L598" i="16"/>
  <c r="N598" i="16"/>
  <c r="P598" i="16"/>
  <c r="R598" i="16"/>
  <c r="T598" i="16"/>
  <c r="V598" i="16"/>
  <c r="L600" i="16"/>
  <c r="N600" i="16"/>
  <c r="P600" i="16"/>
  <c r="R600" i="16"/>
  <c r="T600" i="16"/>
  <c r="V600" i="16"/>
  <c r="W600" i="16"/>
  <c r="L604" i="16"/>
  <c r="N604" i="16"/>
  <c r="P604" i="16"/>
  <c r="R604" i="16"/>
  <c r="T604" i="16"/>
  <c r="V604" i="16"/>
  <c r="L641" i="16"/>
  <c r="N641" i="16"/>
  <c r="P641" i="16"/>
  <c r="R641" i="16"/>
  <c r="T641" i="16"/>
  <c r="V641" i="16"/>
  <c r="L651" i="16"/>
  <c r="N651" i="16"/>
  <c r="P651" i="16"/>
  <c r="R651" i="16"/>
  <c r="T651" i="16"/>
  <c r="V651" i="16"/>
  <c r="W651" i="16"/>
  <c r="L620" i="16"/>
  <c r="N620" i="16"/>
  <c r="P620" i="16"/>
  <c r="R620" i="16"/>
  <c r="T620" i="16"/>
  <c r="V620" i="16"/>
  <c r="L618" i="16"/>
  <c r="N618" i="16"/>
  <c r="P618" i="16"/>
  <c r="R618" i="16"/>
  <c r="T618" i="16"/>
  <c r="V618" i="16"/>
  <c r="L622" i="16"/>
  <c r="N622" i="16"/>
  <c r="P622" i="16"/>
  <c r="R622" i="16"/>
  <c r="T622" i="16"/>
  <c r="V622" i="16"/>
  <c r="L634" i="16"/>
  <c r="N634" i="16"/>
  <c r="P634" i="16"/>
  <c r="R634" i="16"/>
  <c r="T634" i="16"/>
  <c r="V634" i="16"/>
  <c r="L637" i="16"/>
  <c r="N637" i="16"/>
  <c r="P637" i="16"/>
  <c r="R637" i="16"/>
  <c r="T637" i="16"/>
  <c r="V637" i="16"/>
  <c r="L657" i="16"/>
  <c r="N657" i="16"/>
  <c r="P657" i="16"/>
  <c r="R657" i="16"/>
  <c r="T657" i="16"/>
  <c r="V657" i="16"/>
  <c r="L671" i="16"/>
  <c r="N671" i="16"/>
  <c r="P671" i="16"/>
  <c r="R671" i="16"/>
  <c r="T671" i="16"/>
  <c r="V671" i="16"/>
  <c r="L678" i="16"/>
  <c r="N678" i="16"/>
  <c r="P678" i="16"/>
  <c r="R678" i="16"/>
  <c r="T678" i="16"/>
  <c r="V678" i="16"/>
  <c r="L680" i="16"/>
  <c r="N680" i="16"/>
  <c r="P680" i="16"/>
  <c r="R680" i="16"/>
  <c r="T680" i="16"/>
  <c r="V680" i="16"/>
  <c r="L682" i="16"/>
  <c r="N682" i="16"/>
  <c r="P682" i="16"/>
  <c r="R682" i="16"/>
  <c r="T682" i="16"/>
  <c r="V682" i="16"/>
  <c r="L684" i="16"/>
  <c r="N684" i="16"/>
  <c r="P684" i="16"/>
  <c r="R684" i="16"/>
  <c r="T684" i="16"/>
  <c r="V684" i="16"/>
  <c r="V738" i="23"/>
  <c r="T738" i="23"/>
  <c r="R738" i="23"/>
  <c r="P738" i="23"/>
  <c r="L738" i="23"/>
  <c r="N738" i="23"/>
  <c r="L437" i="22"/>
  <c r="N437" i="22"/>
  <c r="W413" i="22"/>
  <c r="V343" i="22"/>
  <c r="T343" i="22"/>
  <c r="R343" i="22"/>
  <c r="P343" i="22"/>
  <c r="N343" i="22"/>
  <c r="L343" i="22"/>
  <c r="W359" i="22"/>
  <c r="V255" i="22"/>
  <c r="T255" i="22"/>
  <c r="R255" i="22"/>
  <c r="P255" i="22"/>
  <c r="N255" i="22"/>
  <c r="L255" i="22"/>
  <c r="L260" i="22"/>
  <c r="V260" i="22"/>
  <c r="T260" i="22"/>
  <c r="R260" i="22"/>
  <c r="P260" i="22"/>
  <c r="N260" i="22"/>
  <c r="V273" i="22"/>
  <c r="T273" i="22"/>
  <c r="R273" i="22"/>
  <c r="P273" i="22"/>
  <c r="N273" i="22"/>
  <c r="L273" i="22"/>
  <c r="V275" i="22"/>
  <c r="T275" i="22"/>
  <c r="R275" i="22"/>
  <c r="P275" i="22"/>
  <c r="N275" i="22"/>
  <c r="L275" i="22"/>
  <c r="V295" i="22"/>
  <c r="T295" i="22"/>
  <c r="R295" i="22"/>
  <c r="P295" i="22"/>
  <c r="N295" i="22"/>
  <c r="L295" i="22"/>
  <c r="V310" i="22"/>
  <c r="T310" i="22"/>
  <c r="R310" i="22"/>
  <c r="P310" i="22"/>
  <c r="N310" i="22"/>
  <c r="L310" i="22"/>
  <c r="V328" i="22"/>
  <c r="T328" i="22"/>
  <c r="R328" i="22"/>
  <c r="P328" i="22"/>
  <c r="N328" i="22"/>
  <c r="L328" i="22"/>
  <c r="V330" i="22"/>
  <c r="T330" i="22"/>
  <c r="R330" i="22"/>
  <c r="P330" i="22"/>
  <c r="N330" i="22"/>
  <c r="L330" i="22"/>
  <c r="V332" i="22"/>
  <c r="T332" i="22"/>
  <c r="R332" i="22"/>
  <c r="P332" i="22"/>
  <c r="N332" i="22"/>
  <c r="L332" i="22"/>
  <c r="V334" i="22"/>
  <c r="T334" i="22"/>
  <c r="R334" i="22"/>
  <c r="P334" i="22"/>
  <c r="N334" i="22"/>
  <c r="L334" i="22"/>
  <c r="V284" i="22"/>
  <c r="T284" i="22"/>
  <c r="R284" i="22"/>
  <c r="P284" i="22"/>
  <c r="N284" i="22"/>
  <c r="L284" i="22"/>
  <c r="V288" i="22"/>
  <c r="T288" i="22"/>
  <c r="R288" i="22"/>
  <c r="P288" i="22"/>
  <c r="N288" i="22"/>
  <c r="L288" i="22"/>
  <c r="V291" i="22"/>
  <c r="T291" i="22"/>
  <c r="R291" i="22"/>
  <c r="P291" i="22"/>
  <c r="N291" i="22"/>
  <c r="L291" i="22"/>
  <c r="V193" i="22"/>
  <c r="T193" i="22"/>
  <c r="R193" i="22"/>
  <c r="P193" i="22"/>
  <c r="N193" i="22"/>
  <c r="L193" i="22"/>
  <c r="V154" i="22"/>
  <c r="T154" i="22"/>
  <c r="R154" i="22"/>
  <c r="P154" i="22"/>
  <c r="N154" i="22"/>
  <c r="L154" i="22"/>
  <c r="V149" i="22"/>
  <c r="T149" i="22"/>
  <c r="R149" i="22"/>
  <c r="P149" i="22"/>
  <c r="N149" i="22"/>
  <c r="L149" i="22"/>
  <c r="V141" i="22"/>
  <c r="T141" i="22"/>
  <c r="R141" i="22"/>
  <c r="P141" i="22"/>
  <c r="N141" i="22"/>
  <c r="L141" i="22"/>
  <c r="V126" i="22"/>
  <c r="T126" i="22"/>
  <c r="R126" i="22"/>
  <c r="P126" i="22"/>
  <c r="N126" i="22"/>
  <c r="L126" i="22"/>
  <c r="V121" i="22"/>
  <c r="T121" i="22"/>
  <c r="R121" i="22"/>
  <c r="P121" i="22"/>
  <c r="N121" i="22"/>
  <c r="L121" i="22"/>
  <c r="V95" i="22"/>
  <c r="T95" i="22"/>
  <c r="R95" i="22"/>
  <c r="P95" i="22"/>
  <c r="N95" i="22"/>
  <c r="L95" i="22"/>
  <c r="W78" i="22"/>
  <c r="V78" i="22"/>
  <c r="T78" i="22"/>
  <c r="R78" i="22"/>
  <c r="P78" i="22"/>
  <c r="N78" i="22"/>
  <c r="L78" i="22"/>
  <c r="V74" i="22"/>
  <c r="T74" i="22"/>
  <c r="R74" i="22"/>
  <c r="P74" i="22"/>
  <c r="N74" i="22"/>
  <c r="L74" i="22"/>
  <c r="V72" i="22"/>
  <c r="T72" i="22"/>
  <c r="R72" i="22"/>
  <c r="P72" i="22"/>
  <c r="N72" i="22"/>
  <c r="L72" i="22"/>
  <c r="V68" i="22"/>
  <c r="T68" i="22"/>
  <c r="R68" i="22"/>
  <c r="P68" i="22"/>
  <c r="N68" i="22"/>
  <c r="L68" i="22"/>
  <c r="V52" i="22"/>
  <c r="T52" i="22"/>
  <c r="R52" i="22"/>
  <c r="P52" i="22"/>
  <c r="N52" i="22"/>
  <c r="L52" i="22"/>
  <c r="V46" i="22"/>
  <c r="T46" i="22"/>
  <c r="R46" i="22"/>
  <c r="P46" i="22"/>
  <c r="N46" i="22"/>
  <c r="L46" i="22"/>
  <c r="V42" i="22"/>
  <c r="T42" i="22"/>
  <c r="R42" i="22"/>
  <c r="P42" i="22"/>
  <c r="N42" i="22"/>
  <c r="L42" i="22"/>
  <c r="V38" i="22"/>
  <c r="T38" i="22"/>
  <c r="R38" i="22"/>
  <c r="P38" i="22"/>
  <c r="N38" i="22"/>
  <c r="L38" i="22"/>
  <c r="V34" i="22"/>
  <c r="T34" i="22"/>
  <c r="R34" i="22"/>
  <c r="P34" i="22"/>
  <c r="N34" i="22"/>
  <c r="L34" i="22"/>
  <c r="V26" i="22"/>
  <c r="T26" i="22"/>
  <c r="R26" i="22"/>
  <c r="P26" i="22"/>
  <c r="N26" i="22"/>
  <c r="L26" i="22"/>
  <c r="L19" i="22"/>
  <c r="V12" i="22"/>
  <c r="T12" i="22"/>
  <c r="R12" i="22"/>
  <c r="P12" i="22"/>
  <c r="N12" i="22"/>
  <c r="L12" i="22"/>
  <c r="V8" i="22"/>
  <c r="T8" i="22"/>
  <c r="R8" i="22"/>
  <c r="P8" i="22"/>
  <c r="N8" i="22"/>
  <c r="L8" i="22"/>
  <c r="V19" i="22"/>
  <c r="T19" i="22"/>
  <c r="R19" i="22"/>
  <c r="P19" i="22"/>
  <c r="N19" i="22"/>
  <c r="V771" i="23"/>
  <c r="T771" i="23"/>
  <c r="R771" i="23"/>
  <c r="P771" i="23"/>
  <c r="N771" i="23"/>
  <c r="L771" i="23"/>
  <c r="V752" i="23"/>
  <c r="T752" i="23"/>
  <c r="R752" i="23"/>
  <c r="P752" i="23"/>
  <c r="N752" i="23"/>
  <c r="L752" i="23"/>
  <c r="V764" i="23"/>
  <c r="T764" i="23"/>
  <c r="R764" i="23"/>
  <c r="P764" i="23"/>
  <c r="N764" i="23"/>
  <c r="L764" i="23"/>
  <c r="V782" i="23"/>
  <c r="T782" i="23"/>
  <c r="R782" i="23"/>
  <c r="P782" i="23"/>
  <c r="N782" i="23"/>
  <c r="L782" i="23"/>
  <c r="V813" i="23"/>
  <c r="T813" i="23"/>
  <c r="R813" i="23"/>
  <c r="P813" i="23"/>
  <c r="N813" i="23"/>
  <c r="L813" i="23"/>
  <c r="V810" i="23"/>
  <c r="T810" i="23"/>
  <c r="R810" i="23"/>
  <c r="P810" i="23"/>
  <c r="L810" i="23"/>
  <c r="V797" i="23"/>
  <c r="T797" i="23"/>
  <c r="R797" i="23"/>
  <c r="P797" i="23"/>
  <c r="N797" i="23"/>
  <c r="L797" i="23"/>
  <c r="V682" i="23"/>
  <c r="T682" i="23"/>
  <c r="R682" i="23"/>
  <c r="P682" i="23"/>
  <c r="N682" i="23"/>
  <c r="L682" i="23"/>
  <c r="V678" i="23"/>
  <c r="T678" i="23"/>
  <c r="R678" i="23"/>
  <c r="P678" i="23"/>
  <c r="N678" i="23"/>
  <c r="L678" i="23"/>
  <c r="W682" i="23"/>
  <c r="W678" i="23"/>
  <c r="W673" i="23"/>
  <c r="W672" i="23" s="1"/>
  <c r="V673" i="23"/>
  <c r="T673" i="23"/>
  <c r="R673" i="23"/>
  <c r="P673" i="23"/>
  <c r="N673" i="23"/>
  <c r="L673" i="23"/>
  <c r="V499" i="23"/>
  <c r="T499" i="23"/>
  <c r="R499" i="23"/>
  <c r="P499" i="23"/>
  <c r="N499" i="23"/>
  <c r="L499" i="23"/>
  <c r="W487" i="23"/>
  <c r="L324" i="23"/>
  <c r="W332" i="23"/>
  <c r="W310" i="23"/>
  <c r="W252" i="23"/>
  <c r="W251" i="23"/>
  <c r="V220" i="23"/>
  <c r="T220" i="23"/>
  <c r="R220" i="23"/>
  <c r="P220" i="23"/>
  <c r="N220" i="23"/>
  <c r="L220" i="23"/>
  <c r="L158" i="23"/>
  <c r="W147" i="23"/>
  <c r="W145" i="23"/>
  <c r="W141" i="23"/>
  <c r="W34" i="23"/>
  <c r="L26" i="23"/>
  <c r="L24" i="23"/>
  <c r="L22" i="23"/>
  <c r="L15" i="23"/>
  <c r="L7" i="23"/>
  <c r="W373" i="16"/>
  <c r="W252" i="16"/>
  <c r="V319" i="16"/>
  <c r="T319" i="16"/>
  <c r="R319" i="16"/>
  <c r="P319" i="16"/>
  <c r="N319" i="16"/>
  <c r="L319" i="16"/>
  <c r="V304" i="16"/>
  <c r="T304" i="16"/>
  <c r="R304" i="16"/>
  <c r="P304" i="16"/>
  <c r="N304" i="16"/>
  <c r="L304" i="16"/>
  <c r="V200" i="16"/>
  <c r="T200" i="16"/>
  <c r="R200" i="16"/>
  <c r="P200" i="16"/>
  <c r="N200" i="16"/>
  <c r="V285" i="16"/>
  <c r="T285" i="16"/>
  <c r="R285" i="16"/>
  <c r="P285" i="16"/>
  <c r="N285" i="16"/>
  <c r="L285" i="16"/>
  <c r="V279" i="16"/>
  <c r="T279" i="16"/>
  <c r="V275" i="16"/>
  <c r="T275" i="16"/>
  <c r="V252" i="16"/>
  <c r="T252" i="16"/>
  <c r="R252" i="16"/>
  <c r="P252" i="16"/>
  <c r="N252" i="16"/>
  <c r="L252" i="16"/>
  <c r="V238" i="16"/>
  <c r="T238" i="16"/>
  <c r="R238" i="16"/>
  <c r="P238" i="16"/>
  <c r="N238" i="16"/>
  <c r="L238" i="16"/>
  <c r="V221" i="16"/>
  <c r="T221" i="16"/>
  <c r="R221" i="16"/>
  <c r="P221" i="16"/>
  <c r="N221" i="16"/>
  <c r="L221" i="16"/>
  <c r="V218" i="16"/>
  <c r="T218" i="16"/>
  <c r="R218" i="16"/>
  <c r="P218" i="16"/>
  <c r="N218" i="16"/>
  <c r="L218" i="16"/>
  <c r="V209" i="16"/>
  <c r="T209" i="16"/>
  <c r="R209" i="16"/>
  <c r="P209" i="16"/>
  <c r="N209" i="16"/>
  <c r="L209" i="16"/>
  <c r="V22" i="16"/>
  <c r="T22" i="16"/>
  <c r="R22" i="16"/>
  <c r="P22" i="16"/>
  <c r="N22" i="16"/>
  <c r="L22" i="16"/>
  <c r="V54" i="16"/>
  <c r="V36" i="16"/>
  <c r="T54" i="16"/>
  <c r="T36" i="16" s="1"/>
  <c r="R54" i="16"/>
  <c r="R36" i="16"/>
  <c r="P54" i="16"/>
  <c r="P36" i="16" s="1"/>
  <c r="N54" i="16"/>
  <c r="N36" i="16" s="1"/>
  <c r="L54" i="16"/>
  <c r="L36" i="16" s="1"/>
  <c r="V72" i="16"/>
  <c r="T72" i="16"/>
  <c r="R72" i="16"/>
  <c r="P72" i="16"/>
  <c r="N72" i="16"/>
  <c r="V89" i="16"/>
  <c r="T89" i="16"/>
  <c r="R89" i="16"/>
  <c r="P89" i="16"/>
  <c r="N89" i="16"/>
  <c r="V98" i="16"/>
  <c r="T98" i="16"/>
  <c r="R98" i="16"/>
  <c r="P98" i="16"/>
  <c r="N98" i="16"/>
  <c r="L98" i="16"/>
  <c r="V102" i="16"/>
  <c r="T102" i="16"/>
  <c r="R102" i="16"/>
  <c r="P102" i="16"/>
  <c r="N102" i="16"/>
  <c r="L102" i="16"/>
  <c r="V109" i="16"/>
  <c r="T109" i="16"/>
  <c r="R109" i="16"/>
  <c r="P109" i="16"/>
  <c r="N109" i="16"/>
  <c r="L109" i="16"/>
  <c r="V124" i="16"/>
  <c r="T124" i="16"/>
  <c r="R124" i="16"/>
  <c r="P124" i="16"/>
  <c r="N124" i="16"/>
  <c r="L124" i="16"/>
  <c r="V148" i="16"/>
  <c r="T148" i="16"/>
  <c r="R148" i="16"/>
  <c r="P148" i="16"/>
  <c r="N148" i="16"/>
  <c r="L148" i="16"/>
  <c r="V176" i="16"/>
  <c r="T176" i="16"/>
  <c r="R176" i="16"/>
  <c r="P176" i="16"/>
  <c r="N176" i="16"/>
  <c r="L176" i="16"/>
  <c r="V180" i="16"/>
  <c r="T180" i="16"/>
  <c r="R180" i="16"/>
  <c r="P180" i="16"/>
  <c r="N180" i="16"/>
  <c r="L180" i="16"/>
  <c r="L200" i="16"/>
  <c r="W200" i="16"/>
  <c r="V267" i="16"/>
  <c r="V266" i="16"/>
  <c r="T267" i="16"/>
  <c r="T266" i="16"/>
  <c r="R267" i="16"/>
  <c r="R266" i="16"/>
  <c r="P267" i="16"/>
  <c r="P266" i="16"/>
  <c r="N267" i="16"/>
  <c r="N266" i="16"/>
  <c r="L267" i="16"/>
  <c r="L266" i="16"/>
  <c r="U123" i="16"/>
  <c r="S123" i="16"/>
  <c r="Q123" i="16"/>
  <c r="O123" i="16"/>
  <c r="M123" i="16"/>
  <c r="K123" i="16"/>
  <c r="J123" i="16"/>
  <c r="W124" i="16"/>
  <c r="W180" i="16"/>
  <c r="W176" i="16"/>
  <c r="W147" i="16"/>
  <c r="W138" i="16"/>
  <c r="V138" i="16"/>
  <c r="T138" i="16"/>
  <c r="R138" i="16"/>
  <c r="P138" i="16"/>
  <c r="N138" i="16"/>
  <c r="L138" i="16"/>
  <c r="W125" i="16"/>
  <c r="U110" i="16"/>
  <c r="S110" i="16"/>
  <c r="Q110" i="16"/>
  <c r="O110" i="16"/>
  <c r="M110" i="16"/>
  <c r="K110" i="16"/>
  <c r="J110" i="16"/>
  <c r="W106" i="16"/>
  <c r="W105" i="16"/>
  <c r="W104" i="16"/>
  <c r="W103" i="16"/>
  <c r="U102" i="16"/>
  <c r="W102" i="16" s="1"/>
  <c r="S102" i="16"/>
  <c r="Q102" i="16"/>
  <c r="O102" i="16"/>
  <c r="M102" i="16"/>
  <c r="K102" i="16"/>
  <c r="U100" i="16"/>
  <c r="S100" i="16"/>
  <c r="Q100" i="16"/>
  <c r="O100" i="16"/>
  <c r="M100" i="16"/>
  <c r="K100" i="16"/>
  <c r="V96" i="16"/>
  <c r="U96" i="16"/>
  <c r="T96" i="16"/>
  <c r="S96" i="16"/>
  <c r="R96" i="16"/>
  <c r="Q96" i="16"/>
  <c r="P96" i="16"/>
  <c r="O96" i="16"/>
  <c r="N96" i="16"/>
  <c r="M96" i="16"/>
  <c r="L96" i="16"/>
  <c r="K96" i="16"/>
  <c r="W93" i="16"/>
  <c r="W92" i="16"/>
  <c r="W90" i="16"/>
  <c r="W88" i="16"/>
  <c r="W87" i="16"/>
  <c r="W84" i="16"/>
  <c r="O84" i="16"/>
  <c r="M84" i="16"/>
  <c r="K84" i="16"/>
  <c r="J84" i="16"/>
  <c r="W83" i="16"/>
  <c r="W82" i="16"/>
  <c r="W81" i="16"/>
  <c r="W80" i="16"/>
  <c r="W79" i="16"/>
  <c r="W78" i="16"/>
  <c r="W77" i="16"/>
  <c r="W76" i="16"/>
  <c r="W75" i="16"/>
  <c r="W74" i="16"/>
  <c r="W73" i="16"/>
  <c r="O46" i="16"/>
  <c r="M46" i="16"/>
  <c r="K46" i="16"/>
  <c r="O44" i="16"/>
  <c r="M44" i="16"/>
  <c r="K44" i="16"/>
  <c r="O42" i="16"/>
  <c r="M42" i="16"/>
  <c r="K42" i="16"/>
  <c r="O40" i="16"/>
  <c r="M40" i="16"/>
  <c r="K40" i="16"/>
  <c r="O39" i="16"/>
  <c r="M39" i="16"/>
  <c r="K39" i="16"/>
  <c r="U33" i="16"/>
  <c r="S33" i="16"/>
  <c r="Q33" i="16"/>
  <c r="O33" i="16"/>
  <c r="M33" i="16"/>
  <c r="K33" i="16"/>
  <c r="U31" i="16"/>
  <c r="S31" i="16"/>
  <c r="Q31" i="16"/>
  <c r="O31" i="16"/>
  <c r="M31" i="16"/>
  <c r="K31" i="16"/>
  <c r="U30" i="16"/>
  <c r="S30" i="16"/>
  <c r="Q30" i="16"/>
  <c r="O30" i="16"/>
  <c r="M30" i="16"/>
  <c r="K30" i="16"/>
  <c r="W22" i="16"/>
  <c r="V769" i="23"/>
  <c r="T769" i="23"/>
  <c r="R769" i="23"/>
  <c r="P769" i="23"/>
  <c r="N769" i="23"/>
  <c r="L769" i="23"/>
  <c r="V760" i="23"/>
  <c r="T760" i="23"/>
  <c r="R760" i="23"/>
  <c r="P760" i="23"/>
  <c r="N760" i="23"/>
  <c r="L760" i="23"/>
  <c r="V756" i="23"/>
  <c r="T756" i="23"/>
  <c r="R756" i="23"/>
  <c r="P756" i="23"/>
  <c r="N756" i="23"/>
  <c r="L756" i="23"/>
  <c r="V729" i="23"/>
  <c r="T729" i="23"/>
  <c r="R729" i="23"/>
  <c r="P729" i="23"/>
  <c r="N729" i="23"/>
  <c r="L729" i="23"/>
  <c r="V727" i="23"/>
  <c r="T727" i="23"/>
  <c r="R727" i="23"/>
  <c r="P727" i="23"/>
  <c r="N727" i="23"/>
  <c r="L727" i="23"/>
  <c r="V719" i="23"/>
  <c r="T719" i="23"/>
  <c r="R719" i="23"/>
  <c r="P719" i="23"/>
  <c r="N719" i="23"/>
  <c r="L719" i="23"/>
  <c r="V705" i="23"/>
  <c r="T705" i="23"/>
  <c r="R705" i="23"/>
  <c r="P705" i="23"/>
  <c r="N705" i="23"/>
  <c r="L705" i="23"/>
  <c r="V662" i="23"/>
  <c r="T662" i="23"/>
  <c r="R662" i="23"/>
  <c r="P662" i="23"/>
  <c r="N662" i="23"/>
  <c r="L662" i="23"/>
  <c r="V660" i="23"/>
  <c r="T660" i="23"/>
  <c r="R660" i="23"/>
  <c r="P660" i="23"/>
  <c r="N660" i="23"/>
  <c r="L660" i="23"/>
  <c r="V610" i="23"/>
  <c r="T610" i="23"/>
  <c r="R610" i="23"/>
  <c r="P610" i="23"/>
  <c r="N610" i="23"/>
  <c r="L610" i="23"/>
  <c r="V595" i="23"/>
  <c r="T595" i="23"/>
  <c r="R595" i="23"/>
  <c r="P595" i="23"/>
  <c r="N595" i="23"/>
  <c r="L595" i="23"/>
  <c r="V587" i="23"/>
  <c r="T587" i="23"/>
  <c r="R587" i="23"/>
  <c r="P587" i="23"/>
  <c r="N587" i="23"/>
  <c r="L587" i="23"/>
  <c r="V569" i="23"/>
  <c r="T569" i="23"/>
  <c r="R569" i="23"/>
  <c r="P569" i="23"/>
  <c r="N569" i="23"/>
  <c r="L569" i="23"/>
  <c r="V664" i="23"/>
  <c r="T664" i="23"/>
  <c r="R664" i="23"/>
  <c r="P664" i="23"/>
  <c r="N664" i="23"/>
  <c r="L664" i="23"/>
  <c r="V548" i="23"/>
  <c r="T548" i="23"/>
  <c r="R548" i="23"/>
  <c r="P548" i="23"/>
  <c r="N548" i="23"/>
  <c r="L548" i="23"/>
  <c r="V533" i="23"/>
  <c r="T533" i="23"/>
  <c r="R533" i="23"/>
  <c r="P533" i="23"/>
  <c r="N533" i="23"/>
  <c r="L533" i="23"/>
  <c r="V489" i="23"/>
  <c r="T489" i="23"/>
  <c r="R489" i="23"/>
  <c r="P489" i="23"/>
  <c r="N489" i="23"/>
  <c r="L489" i="23"/>
  <c r="V487" i="23"/>
  <c r="T487" i="23"/>
  <c r="R487" i="23"/>
  <c r="P487" i="23"/>
  <c r="N487" i="23"/>
  <c r="L487" i="23"/>
  <c r="V471" i="23"/>
  <c r="T471" i="23"/>
  <c r="R471" i="23"/>
  <c r="P471" i="23"/>
  <c r="N471" i="23"/>
  <c r="L471" i="23"/>
  <c r="V457" i="23"/>
  <c r="T457" i="23"/>
  <c r="R457" i="23"/>
  <c r="P457" i="23"/>
  <c r="N457" i="23"/>
  <c r="L457" i="23"/>
  <c r="V378" i="23"/>
  <c r="T378" i="23"/>
  <c r="R378" i="23"/>
  <c r="P378" i="23"/>
  <c r="N378" i="23"/>
  <c r="L378" i="23"/>
  <c r="V376" i="23"/>
  <c r="T376" i="23"/>
  <c r="R376" i="23"/>
  <c r="P376" i="23"/>
  <c r="N376" i="23"/>
  <c r="L376" i="23"/>
  <c r="V368" i="23"/>
  <c r="T368" i="23"/>
  <c r="R368" i="23"/>
  <c r="P368" i="23"/>
  <c r="N368" i="23"/>
  <c r="L368" i="23"/>
  <c r="V354" i="23"/>
  <c r="T354" i="23"/>
  <c r="R354" i="23"/>
  <c r="P354" i="23"/>
  <c r="N354" i="23"/>
  <c r="L354" i="23"/>
  <c r="V342" i="23"/>
  <c r="T342" i="23"/>
  <c r="R342" i="23"/>
  <c r="P342" i="23"/>
  <c r="N342" i="23"/>
  <c r="L342" i="23"/>
  <c r="V339" i="23"/>
  <c r="T339" i="23"/>
  <c r="R339" i="23"/>
  <c r="P339" i="23"/>
  <c r="N339" i="23"/>
  <c r="L339" i="23"/>
  <c r="V349" i="23"/>
  <c r="T349" i="23"/>
  <c r="R349" i="23"/>
  <c r="P349" i="23"/>
  <c r="N349" i="23"/>
  <c r="L349" i="23"/>
  <c r="V314" i="23"/>
  <c r="T314" i="23"/>
  <c r="R314" i="23"/>
  <c r="P314" i="23"/>
  <c r="N314" i="23"/>
  <c r="L314" i="23"/>
  <c r="V312" i="23"/>
  <c r="T312" i="23"/>
  <c r="R312" i="23"/>
  <c r="P312" i="23"/>
  <c r="N312" i="23"/>
  <c r="L312" i="23"/>
  <c r="V310" i="23"/>
  <c r="T310" i="23"/>
  <c r="R310" i="23"/>
  <c r="P310" i="23"/>
  <c r="N310" i="23"/>
  <c r="L310" i="23"/>
  <c r="V285" i="23"/>
  <c r="T285" i="23"/>
  <c r="R285" i="23"/>
  <c r="P285" i="23"/>
  <c r="N285" i="23"/>
  <c r="L285" i="23"/>
  <c r="V270" i="23"/>
  <c r="T270" i="23"/>
  <c r="R270" i="23"/>
  <c r="P270" i="23"/>
  <c r="N270" i="23"/>
  <c r="L270" i="23"/>
  <c r="V266" i="23"/>
  <c r="T266" i="23"/>
  <c r="R266" i="23"/>
  <c r="P266" i="23"/>
  <c r="N266" i="23"/>
  <c r="L266" i="23"/>
  <c r="V262" i="23"/>
  <c r="R262" i="23"/>
  <c r="P262" i="23"/>
  <c r="N262" i="23"/>
  <c r="L262" i="23"/>
  <c r="V252" i="23"/>
  <c r="T252" i="23"/>
  <c r="R252" i="23"/>
  <c r="P252" i="23"/>
  <c r="N252" i="23"/>
  <c r="L252" i="23"/>
  <c r="V247" i="23"/>
  <c r="T247" i="23"/>
  <c r="R247" i="23"/>
  <c r="P247" i="23"/>
  <c r="N247" i="23"/>
  <c r="L247" i="23"/>
  <c r="T225" i="23"/>
  <c r="R225" i="23"/>
  <c r="P225" i="23"/>
  <c r="N225" i="23"/>
  <c r="L225" i="23"/>
  <c r="V208" i="23"/>
  <c r="T208" i="23"/>
  <c r="R208" i="23"/>
  <c r="P208" i="23"/>
  <c r="N208" i="23"/>
  <c r="L208" i="23"/>
  <c r="V196" i="23"/>
  <c r="T196" i="23"/>
  <c r="R196" i="23"/>
  <c r="P196" i="23"/>
  <c r="N196" i="23"/>
  <c r="L196" i="23"/>
  <c r="V194" i="23"/>
  <c r="T194" i="23"/>
  <c r="R194" i="23"/>
  <c r="P194" i="23"/>
  <c r="N194" i="23"/>
  <c r="L194" i="23"/>
  <c r="V189" i="23"/>
  <c r="T189" i="23"/>
  <c r="R189" i="23"/>
  <c r="P189" i="23"/>
  <c r="N189" i="23"/>
  <c r="L189" i="23"/>
  <c r="V175" i="23"/>
  <c r="T175" i="23"/>
  <c r="R175" i="23"/>
  <c r="P175" i="23"/>
  <c r="N175" i="23"/>
  <c r="L175" i="23"/>
  <c r="V158" i="23"/>
  <c r="T158" i="23"/>
  <c r="R158" i="23"/>
  <c r="P158" i="23"/>
  <c r="N158" i="23"/>
  <c r="V147" i="23"/>
  <c r="T147" i="23"/>
  <c r="R147" i="23"/>
  <c r="P147" i="23"/>
  <c r="N147" i="23"/>
  <c r="L147" i="23"/>
  <c r="V145" i="23"/>
  <c r="T145" i="23"/>
  <c r="R145" i="23"/>
  <c r="P145" i="23"/>
  <c r="N145" i="23"/>
  <c r="L145" i="23"/>
  <c r="V141" i="23"/>
  <c r="T141" i="23"/>
  <c r="R141" i="23"/>
  <c r="P141" i="23"/>
  <c r="N141" i="23"/>
  <c r="L141" i="23"/>
  <c r="V127" i="23"/>
  <c r="T127" i="23"/>
  <c r="R127" i="23"/>
  <c r="P127" i="23"/>
  <c r="N127" i="23"/>
  <c r="L127" i="23"/>
  <c r="V123" i="23"/>
  <c r="T123" i="23"/>
  <c r="R123" i="23"/>
  <c r="P123" i="23"/>
  <c r="N123" i="23"/>
  <c r="L123" i="23"/>
  <c r="V117" i="23"/>
  <c r="T117" i="23"/>
  <c r="R117" i="23"/>
  <c r="P117" i="23"/>
  <c r="N117" i="23"/>
  <c r="L117" i="23"/>
  <c r="W105" i="23"/>
  <c r="V105" i="23"/>
  <c r="T105" i="23"/>
  <c r="R105" i="23"/>
  <c r="P105" i="23"/>
  <c r="N105" i="23"/>
  <c r="L105" i="23"/>
  <c r="V96" i="23"/>
  <c r="T96" i="23"/>
  <c r="R96" i="23"/>
  <c r="P96" i="23"/>
  <c r="N96" i="23"/>
  <c r="L96" i="23"/>
  <c r="V94" i="23"/>
  <c r="T94" i="23"/>
  <c r="R94" i="23"/>
  <c r="P94" i="23"/>
  <c r="N94" i="23"/>
  <c r="L94" i="23"/>
  <c r="V78" i="23"/>
  <c r="T78" i="23"/>
  <c r="R78" i="23"/>
  <c r="P78" i="23"/>
  <c r="N78" i="23"/>
  <c r="L78" i="23"/>
  <c r="V64" i="23"/>
  <c r="T64" i="23"/>
  <c r="R64" i="23"/>
  <c r="P64" i="23"/>
  <c r="N64" i="23"/>
  <c r="L64" i="23"/>
  <c r="V30" i="23"/>
  <c r="T30" i="23"/>
  <c r="R30" i="23"/>
  <c r="P30" i="23"/>
  <c r="N30" i="23"/>
  <c r="L30" i="23"/>
  <c r="V55" i="23"/>
  <c r="T55" i="23"/>
  <c r="R55" i="23"/>
  <c r="P55" i="23"/>
  <c r="N55" i="23"/>
  <c r="L55" i="23"/>
  <c r="V39" i="23"/>
  <c r="T39" i="23"/>
  <c r="R39" i="23"/>
  <c r="P39" i="23"/>
  <c r="N39" i="23"/>
  <c r="L39" i="23"/>
  <c r="V34" i="23"/>
  <c r="T34" i="23"/>
  <c r="R34" i="23"/>
  <c r="P34" i="23"/>
  <c r="N34" i="23"/>
  <c r="L34" i="23"/>
  <c r="V26" i="23"/>
  <c r="T26" i="23"/>
  <c r="R26" i="23"/>
  <c r="P26" i="23"/>
  <c r="N26" i="23"/>
  <c r="V24" i="23"/>
  <c r="T24" i="23"/>
  <c r="R24" i="23"/>
  <c r="P24" i="23"/>
  <c r="N24" i="23"/>
  <c r="V22" i="23"/>
  <c r="T22" i="23"/>
  <c r="R22" i="23"/>
  <c r="P22" i="23"/>
  <c r="N22" i="23"/>
  <c r="V20" i="23"/>
  <c r="T20" i="23"/>
  <c r="R20" i="23"/>
  <c r="P20" i="23"/>
  <c r="N20" i="23"/>
  <c r="L20" i="23"/>
  <c r="V15" i="23"/>
  <c r="T15" i="23"/>
  <c r="R15" i="23"/>
  <c r="P15" i="23"/>
  <c r="N15" i="23"/>
  <c r="V7" i="23"/>
  <c r="T7" i="23"/>
  <c r="R7" i="23"/>
  <c r="P7" i="23"/>
  <c r="N7" i="23"/>
  <c r="W342" i="23"/>
  <c r="W324" i="23"/>
  <c r="W349" i="23"/>
  <c r="V464" i="22"/>
  <c r="T464" i="22"/>
  <c r="R464" i="22"/>
  <c r="P464" i="22"/>
  <c r="N464" i="22"/>
  <c r="L464" i="22"/>
  <c r="V462" i="22"/>
  <c r="T462" i="22"/>
  <c r="R462" i="22"/>
  <c r="P462" i="22"/>
  <c r="N462" i="22"/>
  <c r="L462" i="22"/>
  <c r="V455" i="22"/>
  <c r="T455" i="22"/>
  <c r="R455" i="22"/>
  <c r="P455" i="22"/>
  <c r="N455" i="22"/>
  <c r="L455" i="22"/>
  <c r="V441" i="22"/>
  <c r="T441" i="22"/>
  <c r="R441" i="22"/>
  <c r="P441" i="22"/>
  <c r="N441" i="22"/>
  <c r="L441" i="22"/>
  <c r="V437" i="22"/>
  <c r="T437" i="22"/>
  <c r="R437" i="22"/>
  <c r="P437" i="22"/>
  <c r="V433" i="22"/>
  <c r="T433" i="22"/>
  <c r="R433" i="22"/>
  <c r="P433" i="22"/>
  <c r="N433" i="22"/>
  <c r="L433" i="22"/>
  <c r="V431" i="22"/>
  <c r="T431" i="22"/>
  <c r="R431" i="22"/>
  <c r="P431" i="22"/>
  <c r="N431" i="22"/>
  <c r="L431" i="22"/>
  <c r="V429" i="22"/>
  <c r="T429" i="22"/>
  <c r="R429" i="22"/>
  <c r="P429" i="22"/>
  <c r="N429" i="22"/>
  <c r="L429" i="22"/>
  <c r="V426" i="22"/>
  <c r="V414" i="22" s="1"/>
  <c r="T426" i="22"/>
  <c r="T414" i="22" s="1"/>
  <c r="R426" i="22"/>
  <c r="R414" i="22" s="1"/>
  <c r="P426" i="22"/>
  <c r="P414" i="22" s="1"/>
  <c r="N426" i="22"/>
  <c r="N414" i="22"/>
  <c r="N466" i="22" s="1"/>
  <c r="L426" i="22"/>
  <c r="L414" i="22" s="1"/>
  <c r="V405" i="22"/>
  <c r="T405" i="22"/>
  <c r="R405" i="22"/>
  <c r="P405" i="22"/>
  <c r="N405" i="22"/>
  <c r="L405" i="22"/>
  <c r="V403" i="22"/>
  <c r="T403" i="22"/>
  <c r="R403" i="22"/>
  <c r="P403" i="22"/>
  <c r="N403" i="22"/>
  <c r="L403" i="22"/>
  <c r="V401" i="22"/>
  <c r="T401" i="22"/>
  <c r="R401" i="22"/>
  <c r="P401" i="22"/>
  <c r="N401" i="22"/>
  <c r="L401" i="22"/>
  <c r="V393" i="22"/>
  <c r="T393" i="22"/>
  <c r="R393" i="22"/>
  <c r="P393" i="22"/>
  <c r="N393" i="22"/>
  <c r="L393" i="22"/>
  <c r="V379" i="22"/>
  <c r="T379" i="22"/>
  <c r="R379" i="22"/>
  <c r="P379" i="22"/>
  <c r="N379" i="22"/>
  <c r="L379" i="22"/>
  <c r="V372" i="22"/>
  <c r="T372" i="22"/>
  <c r="R372" i="22"/>
  <c r="P372" i="22"/>
  <c r="N372" i="22"/>
  <c r="L372" i="22"/>
  <c r="V369" i="22"/>
  <c r="T369" i="22"/>
  <c r="R369" i="22"/>
  <c r="P369" i="22"/>
  <c r="N369" i="22"/>
  <c r="L369" i="22"/>
  <c r="V366" i="22"/>
  <c r="T366" i="22"/>
  <c r="R366" i="22"/>
  <c r="P366" i="22"/>
  <c r="N366" i="22"/>
  <c r="L366" i="22"/>
  <c r="V364" i="22"/>
  <c r="T364" i="22"/>
  <c r="R364" i="22"/>
  <c r="P364" i="22"/>
  <c r="N364" i="22"/>
  <c r="L364" i="22"/>
  <c r="V362" i="22"/>
  <c r="T362" i="22"/>
  <c r="R362" i="22"/>
  <c r="P362" i="22"/>
  <c r="N362" i="22"/>
  <c r="L362" i="22"/>
  <c r="V360" i="22"/>
  <c r="T360" i="22"/>
  <c r="R360" i="22"/>
  <c r="R407" i="22" s="1"/>
  <c r="P360" i="22"/>
  <c r="N360" i="22"/>
  <c r="L360" i="22"/>
  <c r="L207" i="22"/>
  <c r="W189" i="22"/>
  <c r="V152" i="22"/>
  <c r="T152" i="22"/>
  <c r="R152" i="22"/>
  <c r="P152" i="22"/>
  <c r="N152" i="22"/>
  <c r="L152" i="22"/>
  <c r="V90" i="22"/>
  <c r="T90" i="22"/>
  <c r="R90" i="22"/>
  <c r="P90" i="22"/>
  <c r="N90" i="22"/>
  <c r="L90" i="22"/>
  <c r="V116" i="22"/>
  <c r="T116" i="22"/>
  <c r="R116" i="22"/>
  <c r="P116" i="22"/>
  <c r="N116" i="22"/>
  <c r="L116" i="22"/>
  <c r="V60" i="22"/>
  <c r="T60" i="22"/>
  <c r="R60" i="22"/>
  <c r="P60" i="22"/>
  <c r="N60" i="22"/>
  <c r="L60" i="22"/>
  <c r="V57" i="22"/>
  <c r="T57" i="22"/>
  <c r="R57" i="22"/>
  <c r="P57" i="22"/>
  <c r="N57" i="22"/>
  <c r="L57" i="22"/>
  <c r="V63" i="22"/>
  <c r="T63" i="22"/>
  <c r="R63" i="22"/>
  <c r="P63" i="22"/>
  <c r="N63" i="22"/>
  <c r="L63" i="22"/>
  <c r="V109" i="22"/>
  <c r="T109" i="22"/>
  <c r="R109" i="22"/>
  <c r="P109" i="22"/>
  <c r="N109" i="22"/>
  <c r="L109" i="22"/>
  <c r="V105" i="22"/>
  <c r="T105" i="22"/>
  <c r="R105" i="22"/>
  <c r="P105" i="22"/>
  <c r="N105" i="22"/>
  <c r="L105" i="22"/>
  <c r="V99" i="22"/>
  <c r="T99" i="22"/>
  <c r="R99" i="22"/>
  <c r="P99" i="22"/>
  <c r="N99" i="22"/>
  <c r="L99" i="22"/>
  <c r="V373" i="16"/>
  <c r="V393" i="16" s="1"/>
  <c r="T373" i="16"/>
  <c r="R373" i="16"/>
  <c r="P373" i="16"/>
  <c r="N373" i="16"/>
  <c r="V368" i="16"/>
  <c r="T368" i="16"/>
  <c r="R368" i="16"/>
  <c r="P368" i="16"/>
  <c r="P393" i="16" s="1"/>
  <c r="N368" i="16"/>
  <c r="V353" i="16"/>
  <c r="T353" i="16"/>
  <c r="R353" i="16"/>
  <c r="P353" i="16"/>
  <c r="N353" i="16"/>
  <c r="L373" i="16"/>
  <c r="L368" i="16"/>
  <c r="L353" i="16"/>
  <c r="W68" i="22"/>
  <c r="V324" i="23"/>
  <c r="T324" i="23"/>
  <c r="R324" i="23"/>
  <c r="P324" i="23"/>
  <c r="N324" i="23"/>
  <c r="W378" i="22"/>
  <c r="V246" i="22"/>
  <c r="T246" i="22"/>
  <c r="R246" i="22"/>
  <c r="P246" i="22"/>
  <c r="N246" i="22"/>
  <c r="L246" i="22"/>
  <c r="V243" i="22"/>
  <c r="T243" i="22"/>
  <c r="R243" i="22"/>
  <c r="P243" i="22"/>
  <c r="N243" i="22"/>
  <c r="L243" i="22"/>
  <c r="V222" i="22"/>
  <c r="T222" i="22"/>
  <c r="R222" i="22"/>
  <c r="P222" i="22"/>
  <c r="N222" i="22"/>
  <c r="L222" i="22"/>
  <c r="V207" i="22"/>
  <c r="T207" i="22"/>
  <c r="R207" i="22"/>
  <c r="P207" i="22"/>
  <c r="N207" i="22"/>
  <c r="V189" i="22"/>
  <c r="T189" i="22"/>
  <c r="R189" i="22"/>
  <c r="P189" i="22"/>
  <c r="N189" i="22"/>
  <c r="L189" i="22"/>
  <c r="V183" i="22"/>
  <c r="T183" i="22"/>
  <c r="R183" i="22"/>
  <c r="P183" i="22"/>
  <c r="N183" i="22"/>
  <c r="L183" i="22"/>
  <c r="V202" i="22"/>
  <c r="T202" i="22"/>
  <c r="R202" i="22"/>
  <c r="P202" i="22"/>
  <c r="N202" i="22"/>
  <c r="L202" i="22"/>
  <c r="V179" i="22"/>
  <c r="T179" i="22"/>
  <c r="R179" i="22"/>
  <c r="P179" i="22"/>
  <c r="N179" i="22"/>
  <c r="L179" i="22"/>
  <c r="V199" i="22"/>
  <c r="T199" i="22"/>
  <c r="R199" i="22"/>
  <c r="P199" i="22"/>
  <c r="N199" i="22"/>
  <c r="L199" i="22"/>
  <c r="V174" i="22"/>
  <c r="T174" i="22"/>
  <c r="R174" i="22"/>
  <c r="P174" i="22"/>
  <c r="N174" i="22"/>
  <c r="L174" i="22"/>
  <c r="V164" i="22"/>
  <c r="T164" i="22"/>
  <c r="R164" i="22"/>
  <c r="P164" i="22"/>
  <c r="N164" i="22"/>
  <c r="L164" i="22"/>
  <c r="W238" i="16"/>
  <c r="W198" i="16"/>
  <c r="W303" i="16"/>
  <c r="V343" i="16"/>
  <c r="T343" i="16"/>
  <c r="R343" i="16"/>
  <c r="P343" i="16"/>
  <c r="N343" i="16"/>
  <c r="L343" i="16"/>
  <c r="L335" i="16" s="1"/>
  <c r="L345" i="16" s="1"/>
  <c r="V336" i="16"/>
  <c r="T336" i="16"/>
  <c r="R336" i="16"/>
  <c r="P336" i="16"/>
  <c r="P335" i="16" s="1"/>
  <c r="P345" i="16" s="1"/>
  <c r="N336" i="16"/>
  <c r="L336" i="16"/>
  <c r="AB55" i="16"/>
  <c r="AB56" i="16"/>
  <c r="AB57" i="16"/>
  <c r="AB58" i="16"/>
  <c r="AB59" i="16"/>
  <c r="AB60" i="16"/>
  <c r="AB61" i="16"/>
  <c r="AB62" i="16"/>
  <c r="AB63" i="16"/>
  <c r="AB64" i="16"/>
  <c r="AB65" i="16"/>
  <c r="AB66" i="16"/>
  <c r="AB68" i="16"/>
  <c r="W195" i="16"/>
  <c r="W267" i="16"/>
  <c r="W275" i="16"/>
  <c r="W279" i="16"/>
  <c r="K326" i="16"/>
  <c r="L326" i="16"/>
  <c r="L328" i="16" s="1"/>
  <c r="N326" i="16"/>
  <c r="N328" i="16" s="1"/>
  <c r="P326" i="16"/>
  <c r="R326" i="16"/>
  <c r="T326" i="16"/>
  <c r="V326" i="16"/>
  <c r="W109" i="16"/>
  <c r="G62" i="20"/>
  <c r="R1009" i="20"/>
  <c r="O1087" i="20"/>
  <c r="Q1087" i="20" s="1"/>
  <c r="O96" i="20"/>
  <c r="R859" i="20"/>
  <c r="O784" i="20"/>
  <c r="Q784" i="20" s="1"/>
  <c r="O1103" i="20"/>
  <c r="Q1103" i="20" s="1"/>
  <c r="I182" i="20"/>
  <c r="R1068" i="20"/>
  <c r="O1092" i="20"/>
  <c r="Q1092" i="20" s="1"/>
  <c r="I278" i="20"/>
  <c r="M63" i="20"/>
  <c r="O63" i="20" s="1"/>
  <c r="O94" i="20"/>
  <c r="Q94" i="20" s="1"/>
  <c r="R214" i="20"/>
  <c r="R472" i="20"/>
  <c r="R1152" i="20"/>
  <c r="O101" i="20"/>
  <c r="Q101" i="20" s="1"/>
  <c r="R1489" i="20"/>
  <c r="R1215" i="20"/>
  <c r="Q96" i="20"/>
  <c r="O776" i="20"/>
  <c r="Q776" i="20" s="1"/>
  <c r="R1379" i="20"/>
  <c r="O796" i="20"/>
  <c r="M66" i="20"/>
  <c r="O66" i="20" s="1"/>
  <c r="Q66" i="20" s="1"/>
  <c r="O113" i="20"/>
  <c r="Q113" i="20" s="1"/>
  <c r="R1245" i="20"/>
  <c r="O809" i="20"/>
  <c r="Q809" i="20" s="1"/>
  <c r="I176" i="20"/>
  <c r="R524" i="20"/>
  <c r="K293" i="20"/>
  <c r="M293" i="20" s="1"/>
  <c r="O293" i="20" s="1"/>
  <c r="Q293" i="20" s="1"/>
  <c r="Q141" i="20"/>
  <c r="O126" i="20"/>
  <c r="Q126" i="20" s="1"/>
  <c r="O184" i="20"/>
  <c r="Q184" i="20" s="1"/>
  <c r="R549" i="20"/>
  <c r="O122" i="20"/>
  <c r="Q122" i="20" s="1"/>
  <c r="O109" i="20"/>
  <c r="Q109" i="20" s="1"/>
  <c r="O783" i="20"/>
  <c r="Q783" i="20" s="1"/>
  <c r="O136" i="20"/>
  <c r="Q136" i="20" s="1"/>
  <c r="I276" i="20"/>
  <c r="I285" i="20"/>
  <c r="O89" i="20"/>
  <c r="Q89" i="20" s="1"/>
  <c r="O1093" i="20"/>
  <c r="Q1093" i="20" s="1"/>
  <c r="R344" i="20"/>
  <c r="R998" i="20"/>
  <c r="R759" i="20"/>
  <c r="R396" i="20"/>
  <c r="O1086" i="20"/>
  <c r="Q1086" i="20" s="1"/>
  <c r="O1082" i="20"/>
  <c r="O797" i="20"/>
  <c r="Q797" i="20" s="1"/>
  <c r="R888" i="20"/>
  <c r="O1217" i="20"/>
  <c r="R1350" i="20"/>
  <c r="I168" i="20"/>
  <c r="M75" i="20"/>
  <c r="O75" i="20" s="1"/>
  <c r="Q75" i="20" s="1"/>
  <c r="I173" i="20"/>
  <c r="R890" i="20"/>
  <c r="R1413" i="20"/>
  <c r="O82" i="20"/>
  <c r="O1099" i="20"/>
  <c r="O808" i="20"/>
  <c r="Q808" i="20" s="1"/>
  <c r="M1160" i="20"/>
  <c r="Q602" i="20"/>
  <c r="M69" i="20"/>
  <c r="O69" i="20" s="1"/>
  <c r="Q69" i="20" s="1"/>
  <c r="O140" i="20"/>
  <c r="Q140" i="20" s="1"/>
  <c r="R1049" i="20"/>
  <c r="K62" i="20"/>
  <c r="Q861" i="20"/>
  <c r="O1075" i="20"/>
  <c r="Q1075" i="20" s="1"/>
  <c r="O811" i="20"/>
  <c r="Q811" i="20" s="1"/>
  <c r="O91" i="20"/>
  <c r="O123" i="20"/>
  <c r="Q123" i="20" s="1"/>
  <c r="O1101" i="20"/>
  <c r="O782" i="20"/>
  <c r="R496" i="20"/>
  <c r="M71" i="20"/>
  <c r="O71" i="20" s="1"/>
  <c r="Q71" i="20" s="1"/>
  <c r="R1012" i="20"/>
  <c r="R324" i="20"/>
  <c r="M789" i="20"/>
  <c r="R838" i="20"/>
  <c r="R942" i="20"/>
  <c r="R1467" i="20"/>
  <c r="K446" i="20"/>
  <c r="K281" i="20"/>
  <c r="M281" i="20" s="1"/>
  <c r="O1095" i="20"/>
  <c r="Q1095" i="20" s="1"/>
  <c r="O133" i="20"/>
  <c r="Q133" i="20" s="1"/>
  <c r="R289" i="20"/>
  <c r="R474" i="20"/>
  <c r="R1133" i="20"/>
  <c r="O252" i="20"/>
  <c r="R1047" i="20"/>
  <c r="I256" i="20"/>
  <c r="R855" i="20"/>
  <c r="O787" i="20"/>
  <c r="O108" i="20"/>
  <c r="K272" i="20"/>
  <c r="M272" i="20" s="1"/>
  <c r="O272" i="20" s="1"/>
  <c r="Q272" i="20" s="1"/>
  <c r="K182" i="20"/>
  <c r="M799" i="20"/>
  <c r="O968" i="20"/>
  <c r="Q655" i="20"/>
  <c r="R394" i="20"/>
  <c r="O1020" i="20"/>
  <c r="K765" i="20"/>
  <c r="I498" i="20"/>
  <c r="R1014" i="20"/>
  <c r="R1485" i="20"/>
  <c r="O130" i="20"/>
  <c r="O95" i="20"/>
  <c r="O1074" i="20"/>
  <c r="O138" i="20"/>
  <c r="O135" i="20"/>
  <c r="O110" i="20"/>
  <c r="O115" i="20"/>
  <c r="Q115" i="20" s="1"/>
  <c r="O111" i="20"/>
  <c r="M79" i="20"/>
  <c r="R372" i="20"/>
  <c r="R996" i="20"/>
  <c r="Q446" i="20"/>
  <c r="G252" i="20"/>
  <c r="O765" i="20"/>
  <c r="O551" i="20"/>
  <c r="I287" i="20"/>
  <c r="R1316" i="20"/>
  <c r="K916" i="20"/>
  <c r="G861" i="20"/>
  <c r="I1071" i="20"/>
  <c r="R702" i="20"/>
  <c r="O125" i="20"/>
  <c r="Q125" i="20" s="1"/>
  <c r="O92" i="20"/>
  <c r="R424" i="20"/>
  <c r="R428" i="20"/>
  <c r="R682" i="20"/>
  <c r="R738" i="20"/>
  <c r="M767" i="20"/>
  <c r="R1465" i="20"/>
  <c r="O93" i="20"/>
  <c r="Q93" i="20" s="1"/>
  <c r="R392" i="20"/>
  <c r="M398" i="20"/>
  <c r="R440" i="20"/>
  <c r="K602" i="20"/>
  <c r="G710" i="20"/>
  <c r="O861" i="20"/>
  <c r="I916" i="20"/>
  <c r="G99" i="20"/>
  <c r="M129" i="20"/>
  <c r="O131" i="20"/>
  <c r="Q131" i="20" s="1"/>
  <c r="G398" i="20"/>
  <c r="G551" i="20"/>
  <c r="G765" i="20"/>
  <c r="O779" i="20"/>
  <c r="M778" i="20"/>
  <c r="M1381" i="20"/>
  <c r="O86" i="20"/>
  <c r="Q86" i="20" s="1"/>
  <c r="O88" i="20"/>
  <c r="O90" i="20"/>
  <c r="G129" i="20"/>
  <c r="R342" i="20"/>
  <c r="O446" i="20"/>
  <c r="M551" i="20"/>
  <c r="G602" i="20"/>
  <c r="K655" i="20"/>
  <c r="R653" i="20"/>
  <c r="O710" i="20"/>
  <c r="M765" i="20"/>
  <c r="R763" i="20"/>
  <c r="M861" i="20"/>
  <c r="G968" i="20"/>
  <c r="G971" i="20"/>
  <c r="Q1270" i="20"/>
  <c r="K551" i="20"/>
  <c r="Q1077" i="20"/>
  <c r="M602" i="20"/>
  <c r="G1020" i="20"/>
  <c r="R186" i="20"/>
  <c r="O114" i="20"/>
  <c r="O769" i="20"/>
  <c r="Q769" i="20" s="1"/>
  <c r="R526" i="20"/>
  <c r="R740" i="20"/>
  <c r="I186" i="20"/>
  <c r="I252" i="20"/>
  <c r="O786" i="20"/>
  <c r="Q786" i="20" s="1"/>
  <c r="O791" i="20"/>
  <c r="Q791" i="20" s="1"/>
  <c r="Q1020" i="20"/>
  <c r="R1263" i="20"/>
  <c r="O1381" i="20"/>
  <c r="R1433" i="20"/>
  <c r="M73" i="20"/>
  <c r="M76" i="20"/>
  <c r="O76" i="20" s="1"/>
  <c r="Q76" i="20" s="1"/>
  <c r="M118" i="20"/>
  <c r="O124" i="20"/>
  <c r="O134" i="20"/>
  <c r="Q134" i="20" s="1"/>
  <c r="K498" i="20"/>
  <c r="I655" i="20"/>
  <c r="M710" i="20"/>
  <c r="O774" i="20"/>
  <c r="Q774" i="20" s="1"/>
  <c r="K861" i="20"/>
  <c r="Q968" i="20"/>
  <c r="I1020" i="20"/>
  <c r="R1007" i="20"/>
  <c r="R1064" i="20"/>
  <c r="I398" i="20"/>
  <c r="I551" i="20"/>
  <c r="I710" i="20"/>
  <c r="R910" i="20"/>
  <c r="I968" i="20"/>
  <c r="K971" i="20"/>
  <c r="K1491" i="20"/>
  <c r="K398" i="20"/>
  <c r="G655" i="20"/>
  <c r="O916" i="20"/>
  <c r="R1375" i="20"/>
  <c r="M99" i="20"/>
  <c r="R340" i="20"/>
  <c r="R374" i="20"/>
  <c r="I765" i="20"/>
  <c r="R836" i="20"/>
  <c r="M77" i="20"/>
  <c r="I178" i="20"/>
  <c r="K178" i="20" s="1"/>
  <c r="M178" i="20" s="1"/>
  <c r="O178" i="20" s="1"/>
  <c r="Q178" i="20" s="1"/>
  <c r="M252" i="20"/>
  <c r="O810" i="20"/>
  <c r="Q810" i="20" s="1"/>
  <c r="Q551" i="20"/>
  <c r="M968" i="20"/>
  <c r="K176" i="20"/>
  <c r="M176" i="20" s="1"/>
  <c r="O176" i="20" s="1"/>
  <c r="Q176" i="20" s="1"/>
  <c r="Q82" i="20"/>
  <c r="Q796" i="20"/>
  <c r="K280" i="20"/>
  <c r="K168" i="20"/>
  <c r="M168" i="20" s="1"/>
  <c r="O168" i="20" s="1"/>
  <c r="Q168" i="20" s="1"/>
  <c r="Q1099" i="20"/>
  <c r="K173" i="20"/>
  <c r="M173" i="20" s="1"/>
  <c r="O173" i="20" s="1"/>
  <c r="Q173" i="20" s="1"/>
  <c r="Q1082" i="20"/>
  <c r="Q782" i="20"/>
  <c r="M182" i="20"/>
  <c r="O182" i="20"/>
  <c r="Q182" i="20" s="1"/>
  <c r="O78" i="20"/>
  <c r="Q78" i="20" s="1"/>
  <c r="Q1101" i="20"/>
  <c r="Q91" i="20"/>
  <c r="Q92" i="20"/>
  <c r="Q111" i="20"/>
  <c r="Q138" i="20"/>
  <c r="Q130" i="20"/>
  <c r="Q787" i="20"/>
  <c r="Q108" i="20"/>
  <c r="Q1074" i="20"/>
  <c r="Q135" i="20"/>
  <c r="O79" i="20"/>
  <c r="Q110" i="20"/>
  <c r="Q95" i="20"/>
  <c r="O73" i="20"/>
  <c r="Q73" i="20" s="1"/>
  <c r="Q88" i="20"/>
  <c r="Q90" i="20"/>
  <c r="Q139" i="20"/>
  <c r="Q124" i="20"/>
  <c r="Q779" i="20"/>
  <c r="Q119" i="20"/>
  <c r="O77" i="20"/>
  <c r="Q77" i="20" s="1"/>
  <c r="Q114" i="20"/>
  <c r="Q79" i="20"/>
  <c r="O60" i="20"/>
  <c r="W123" i="16"/>
  <c r="T393" i="16"/>
  <c r="L471" i="16"/>
  <c r="V908" i="16"/>
  <c r="P928" i="16"/>
  <c r="R393" i="16"/>
  <c r="P173" i="16"/>
  <c r="R173" i="16" s="1"/>
  <c r="T173" i="16" s="1"/>
  <c r="R328" i="16"/>
  <c r="V686" i="16"/>
  <c r="N686" i="16"/>
  <c r="R686" i="16"/>
  <c r="R610" i="16"/>
  <c r="T471" i="16"/>
  <c r="P471" i="16"/>
  <c r="L869" i="16"/>
  <c r="T869" i="16"/>
  <c r="W96" i="16"/>
  <c r="V328" i="16"/>
  <c r="L686" i="16"/>
  <c r="V610" i="16"/>
  <c r="N610" i="16"/>
  <c r="N471" i="16"/>
  <c r="T939" i="16"/>
  <c r="V939" i="16"/>
  <c r="N939" i="16"/>
  <c r="T928" i="16"/>
  <c r="L928" i="16"/>
  <c r="N917" i="16"/>
  <c r="N913" i="16"/>
  <c r="V899" i="16"/>
  <c r="N899" i="16"/>
  <c r="R869" i="16"/>
  <c r="N869" i="16"/>
  <c r="R815" i="16"/>
  <c r="V815" i="16"/>
  <c r="T759" i="16"/>
  <c r="N759" i="16"/>
  <c r="R759" i="16"/>
  <c r="P1099" i="16"/>
  <c r="L1008" i="16"/>
  <c r="W949" i="16"/>
  <c r="R939" i="16"/>
  <c r="R928" i="16"/>
  <c r="V928" i="16"/>
  <c r="T917" i="16"/>
  <c r="L917" i="16"/>
  <c r="P917" i="16"/>
  <c r="T913" i="16"/>
  <c r="P913" i="16"/>
  <c r="N885" i="16"/>
  <c r="T885" i="16"/>
  <c r="T815" i="16"/>
  <c r="L759" i="16"/>
  <c r="R1099" i="16"/>
  <c r="R1008" i="16"/>
  <c r="P1008" i="16"/>
  <c r="T1008" i="16"/>
  <c r="P908" i="16"/>
  <c r="T908" i="16"/>
  <c r="L908" i="16"/>
  <c r="T1099" i="16"/>
  <c r="L1099" i="16"/>
  <c r="V1008" i="16"/>
  <c r="N1008" i="16"/>
  <c r="W441" i="16"/>
  <c r="R170" i="16"/>
  <c r="T170" i="16" s="1"/>
  <c r="V170" i="16" s="1"/>
  <c r="R149" i="23"/>
  <c r="W438" i="23"/>
  <c r="R380" i="23"/>
  <c r="T98" i="23"/>
  <c r="R98" i="23"/>
  <c r="N98" i="23"/>
  <c r="V149" i="23"/>
  <c r="P198" i="23"/>
  <c r="L198" i="23"/>
  <c r="T198" i="23"/>
  <c r="R316" i="23"/>
  <c r="N380" i="23"/>
  <c r="V380" i="23"/>
  <c r="N666" i="23"/>
  <c r="V666" i="23"/>
  <c r="P666" i="23"/>
  <c r="L731" i="23"/>
  <c r="T731" i="23"/>
  <c r="V731" i="23"/>
  <c r="T380" i="23"/>
  <c r="L98" i="23"/>
  <c r="N731" i="23"/>
  <c r="V316" i="23"/>
  <c r="T491" i="23"/>
  <c r="L491" i="23"/>
  <c r="P731" i="23"/>
  <c r="N316" i="23"/>
  <c r="R491" i="23"/>
  <c r="L666" i="23"/>
  <c r="T666" i="23"/>
  <c r="P491" i="23"/>
  <c r="P316" i="23"/>
  <c r="V98" i="23"/>
  <c r="P98" i="23"/>
  <c r="N149" i="23"/>
  <c r="P149" i="23"/>
  <c r="T149" i="23"/>
  <c r="R198" i="23"/>
  <c r="N198" i="23"/>
  <c r="V198" i="23"/>
  <c r="R666" i="23"/>
  <c r="N491" i="23"/>
  <c r="V491" i="23"/>
  <c r="L380" i="23"/>
  <c r="M187" i="20" l="1"/>
  <c r="O187" i="20" s="1"/>
  <c r="K186" i="20"/>
  <c r="I60" i="20"/>
  <c r="K274" i="20"/>
  <c r="M274" i="20" s="1"/>
  <c r="O274" i="20" s="1"/>
  <c r="Q274" i="20" s="1"/>
  <c r="I270" i="20"/>
  <c r="K1217" i="20"/>
  <c r="I1491" i="20"/>
  <c r="G1491" i="20"/>
  <c r="M1091" i="20"/>
  <c r="M81" i="20"/>
  <c r="T335" i="16"/>
  <c r="T345" i="16" s="1"/>
  <c r="I161" i="20"/>
  <c r="G188" i="20"/>
  <c r="K283" i="20"/>
  <c r="M283" i="20" s="1"/>
  <c r="O283" i="20" s="1"/>
  <c r="Q283" i="20" s="1"/>
  <c r="I282" i="20"/>
  <c r="G916" i="20"/>
  <c r="M1270" i="20"/>
  <c r="I1439" i="20"/>
  <c r="P380" i="23"/>
  <c r="K252" i="20"/>
  <c r="Q346" i="20"/>
  <c r="Q398" i="20"/>
  <c r="M446" i="20"/>
  <c r="G498" i="20"/>
  <c r="O498" i="20"/>
  <c r="I602" i="20"/>
  <c r="M655" i="20"/>
  <c r="K710" i="20"/>
  <c r="Q710" i="20"/>
  <c r="I861" i="20"/>
  <c r="M916" i="20"/>
  <c r="Q916" i="20"/>
  <c r="K968" i="20"/>
  <c r="K1020" i="20"/>
  <c r="M1081" i="20"/>
  <c r="K1073" i="20"/>
  <c r="G1217" i="20"/>
  <c r="G1270" i="20"/>
  <c r="N1323" i="20"/>
  <c r="Q1439" i="20"/>
  <c r="L393" i="16"/>
  <c r="R466" i="22"/>
  <c r="L149" i="23"/>
  <c r="V917" i="16"/>
  <c r="N908" i="16"/>
  <c r="R908" i="16"/>
  <c r="I346" i="20"/>
  <c r="M346" i="20"/>
  <c r="R551" i="16"/>
  <c r="I1542" i="20"/>
  <c r="N393" i="16"/>
  <c r="T336" i="22"/>
  <c r="Q83" i="36"/>
  <c r="N335" i="16"/>
  <c r="N345" i="16" s="1"/>
  <c r="L187" i="16"/>
  <c r="T610" i="16"/>
  <c r="W908" i="16"/>
  <c r="P551" i="16"/>
  <c r="V551" i="16"/>
  <c r="O118" i="20"/>
  <c r="V335" i="16"/>
  <c r="V345" i="16" s="1"/>
  <c r="N248" i="22"/>
  <c r="V248" i="22"/>
  <c r="V466" i="22"/>
  <c r="L336" i="22"/>
  <c r="P610" i="16"/>
  <c r="T951" i="16"/>
  <c r="P939" i="16"/>
  <c r="R917" i="16"/>
  <c r="R913" i="16"/>
  <c r="V913" i="16"/>
  <c r="M83" i="36"/>
  <c r="U83" i="36"/>
  <c r="O83" i="36"/>
  <c r="P248" i="22"/>
  <c r="P407" i="22"/>
  <c r="L466" i="22"/>
  <c r="L913" i="16"/>
  <c r="L815" i="16"/>
  <c r="M971" i="20"/>
  <c r="M1020" i="20"/>
  <c r="O1081" i="20"/>
  <c r="Q1081" i="20" s="1"/>
  <c r="M1073" i="20"/>
  <c r="M279" i="20"/>
  <c r="K278" i="20"/>
  <c r="P165" i="16"/>
  <c r="Q118" i="20"/>
  <c r="L248" i="22"/>
  <c r="T248" i="22"/>
  <c r="N407" i="22"/>
  <c r="V407" i="22"/>
  <c r="P466" i="22"/>
  <c r="T328" i="16"/>
  <c r="L157" i="22"/>
  <c r="T157" i="22"/>
  <c r="P336" i="22"/>
  <c r="P819" i="23"/>
  <c r="V759" i="16"/>
  <c r="Q60" i="20"/>
  <c r="K346" i="20"/>
  <c r="K1542" i="20"/>
  <c r="N187" i="16"/>
  <c r="N551" i="16"/>
  <c r="R335" i="16"/>
  <c r="R345" i="16" s="1"/>
  <c r="R248" i="22"/>
  <c r="L407" i="22"/>
  <c r="T407" i="22"/>
  <c r="T466" i="22"/>
  <c r="R157" i="22"/>
  <c r="V336" i="22"/>
  <c r="L819" i="23"/>
  <c r="V819" i="23"/>
  <c r="T686" i="16"/>
  <c r="L610" i="16"/>
  <c r="R899" i="16"/>
  <c r="R956" i="16" s="1"/>
  <c r="N815" i="16"/>
  <c r="V1099" i="16"/>
  <c r="G346" i="20"/>
  <c r="Q498" i="20"/>
  <c r="K1381" i="20"/>
  <c r="G1542" i="20"/>
  <c r="L551" i="16"/>
  <c r="P157" i="22"/>
  <c r="N336" i="22"/>
  <c r="N819" i="23"/>
  <c r="T819" i="23"/>
  <c r="N928" i="16"/>
  <c r="L885" i="16"/>
  <c r="P869" i="16"/>
  <c r="N1099" i="16"/>
  <c r="M60" i="20"/>
  <c r="M498" i="20"/>
  <c r="Q778" i="20"/>
  <c r="Q81" i="20"/>
  <c r="O778" i="20"/>
  <c r="N157" i="22"/>
  <c r="V157" i="22"/>
  <c r="R336" i="22"/>
  <c r="R819" i="23"/>
  <c r="P686" i="16"/>
  <c r="T956" i="16"/>
  <c r="V869" i="16"/>
  <c r="P759" i="16"/>
  <c r="O346" i="20"/>
  <c r="O1542" i="20"/>
  <c r="M280" i="20"/>
  <c r="O281" i="20"/>
  <c r="Q63" i="20"/>
  <c r="M273" i="20"/>
  <c r="K270" i="20"/>
  <c r="M284" i="20"/>
  <c r="K282" i="20"/>
  <c r="O1073" i="20"/>
  <c r="Q1079" i="20"/>
  <c r="Q1073" i="20" s="1"/>
  <c r="P187" i="16"/>
  <c r="R149" i="16"/>
  <c r="V956" i="16"/>
  <c r="N956" i="16"/>
  <c r="V173" i="16"/>
  <c r="K285" i="20"/>
  <c r="M286" i="20"/>
  <c r="Q772" i="20"/>
  <c r="Q767" i="20" s="1"/>
  <c r="O767" i="20"/>
  <c r="P956" i="16"/>
  <c r="Q100" i="20"/>
  <c r="Q99" i="20" s="1"/>
  <c r="O99" i="20"/>
  <c r="Q137" i="20"/>
  <c r="Q129" i="20" s="1"/>
  <c r="O129" i="20"/>
  <c r="M288" i="20"/>
  <c r="K287" i="20"/>
  <c r="Q1105" i="20"/>
  <c r="Q1091" i="20" s="1"/>
  <c r="O1091" i="20"/>
  <c r="O72" i="20"/>
  <c r="Q72" i="20" s="1"/>
  <c r="M62" i="20"/>
  <c r="I188" i="20"/>
  <c r="K148" i="20"/>
  <c r="M163" i="20"/>
  <c r="O163" i="20" s="1"/>
  <c r="Q163" i="20" s="1"/>
  <c r="K161" i="20"/>
  <c r="M161" i="20" s="1"/>
  <c r="O161" i="20" s="1"/>
  <c r="Q161" i="20" s="1"/>
  <c r="M259" i="20"/>
  <c r="K256" i="20"/>
  <c r="M278" i="20"/>
  <c r="O279" i="20"/>
  <c r="Q793" i="20"/>
  <c r="Q789" i="20" s="1"/>
  <c r="O789" i="20"/>
  <c r="O799" i="20"/>
  <c r="Q800" i="20"/>
  <c r="Q799" i="20" s="1"/>
  <c r="R165" i="16"/>
  <c r="T174" i="16"/>
  <c r="V174" i="16" s="1"/>
  <c r="L956" i="16"/>
  <c r="R216" i="20"/>
  <c r="O81" i="20"/>
  <c r="M186" i="20" l="1"/>
  <c r="V165" i="16"/>
  <c r="O186" i="20"/>
  <c r="Q187" i="20"/>
  <c r="Q186" i="20" s="1"/>
  <c r="O288" i="20"/>
  <c r="M287" i="20"/>
  <c r="O273" i="20"/>
  <c r="M270" i="20"/>
  <c r="Q279" i="20"/>
  <c r="Q278" i="20" s="1"/>
  <c r="O278" i="20"/>
  <c r="Q281" i="20"/>
  <c r="Q280" i="20" s="1"/>
  <c r="O280" i="20"/>
  <c r="O259" i="20"/>
  <c r="M256" i="20"/>
  <c r="O286" i="20"/>
  <c r="M285" i="20"/>
  <c r="M282" i="20"/>
  <c r="O284" i="20"/>
  <c r="M148" i="20"/>
  <c r="K188" i="20"/>
  <c r="T149" i="16"/>
  <c r="R187" i="16"/>
  <c r="O62" i="20"/>
  <c r="T165" i="16"/>
  <c r="Q62" i="20"/>
  <c r="T187" i="16" l="1"/>
  <c r="V149" i="16"/>
  <c r="V187" i="16" s="1"/>
  <c r="Q259" i="20"/>
  <c r="Q256" i="20" s="1"/>
  <c r="O256" i="20"/>
  <c r="Q288" i="20"/>
  <c r="Q287" i="20" s="1"/>
  <c r="O287" i="20"/>
  <c r="Q284" i="20"/>
  <c r="Q282" i="20" s="1"/>
  <c r="O282" i="20"/>
  <c r="O148" i="20"/>
  <c r="M188" i="20"/>
  <c r="Q286" i="20"/>
  <c r="Q285" i="20" s="1"/>
  <c r="O285" i="20"/>
  <c r="O270" i="20"/>
  <c r="Q273" i="20"/>
  <c r="Q270" i="20" s="1"/>
  <c r="O188" i="20" l="1"/>
  <c r="Q148" i="20"/>
  <c r="Q188" i="20" s="1"/>
</calcChain>
</file>

<file path=xl/comments1.xml><?xml version="1.0" encoding="utf-8"?>
<comments xmlns="http://schemas.openxmlformats.org/spreadsheetml/2006/main">
  <authors>
    <author>GEFORCE</author>
  </authors>
  <commentList>
    <comment ref="J207" authorId="0">
      <text>
        <r>
          <rPr>
            <b/>
            <sz val="9"/>
            <color indexed="81"/>
            <rFont val="Tahoma"/>
            <family val="2"/>
          </rPr>
          <t>Asumsi angka NTP tahun 2013</t>
        </r>
      </text>
    </comment>
  </commentList>
</comments>
</file>

<file path=xl/comments2.xml><?xml version="1.0" encoding="utf-8"?>
<comments xmlns="http://schemas.openxmlformats.org/spreadsheetml/2006/main">
  <authors>
    <author>user</author>
    <author>Toshiba</author>
    <author>GEFORCE</author>
  </authors>
  <commentList>
    <comment ref="H96" authorId="0">
      <text>
        <r>
          <rPr>
            <b/>
            <sz val="9"/>
            <color indexed="81"/>
            <rFont val="Tahoma"/>
            <family val="2"/>
          </rPr>
          <t>user:</t>
        </r>
        <r>
          <rPr>
            <sz val="9"/>
            <color indexed="81"/>
            <rFont val="Tahoma"/>
            <family val="2"/>
          </rPr>
          <t xml:space="preserve">
perubahan kinerja kunci</t>
        </r>
      </text>
    </comment>
    <comment ref="G111" authorId="0">
      <text>
        <r>
          <rPr>
            <b/>
            <sz val="9"/>
            <color indexed="81"/>
            <rFont val="Tahoma"/>
            <family val="2"/>
          </rPr>
          <t>user:</t>
        </r>
        <r>
          <rPr>
            <sz val="9"/>
            <color indexed="81"/>
            <rFont val="Tahoma"/>
            <family val="2"/>
          </rPr>
          <t xml:space="preserve">
tambahan indikator</t>
        </r>
      </text>
    </comment>
    <comment ref="H111" authorId="0">
      <text>
        <r>
          <rPr>
            <b/>
            <sz val="9"/>
            <color indexed="81"/>
            <rFont val="Tahoma"/>
            <family val="2"/>
          </rPr>
          <t>user:</t>
        </r>
        <r>
          <rPr>
            <sz val="9"/>
            <color indexed="81"/>
            <rFont val="Tahoma"/>
            <family val="2"/>
          </rPr>
          <t xml:space="preserve">
tambahan indikator</t>
        </r>
      </text>
    </comment>
    <comment ref="H126" authorId="1">
      <text>
        <r>
          <rPr>
            <b/>
            <sz val="9"/>
            <color indexed="81"/>
            <rFont val="Tahoma"/>
            <family val="2"/>
          </rPr>
          <t>Toshiba:</t>
        </r>
        <r>
          <rPr>
            <sz val="9"/>
            <color indexed="81"/>
            <rFont val="Tahoma"/>
            <family val="2"/>
          </rPr>
          <t xml:space="preserve">
Rehab 250 ruang, RKB 50, Perpus 50 ruang, Jamban 75 unit, Peralatan Pendidikan 50 paket, Buku Perpustakaan 20 paket</t>
        </r>
      </text>
    </comment>
    <comment ref="H132" authorId="1">
      <text>
        <r>
          <rPr>
            <b/>
            <sz val="9"/>
            <color indexed="81"/>
            <rFont val="Tahoma"/>
            <family val="2"/>
          </rPr>
          <t>Toshiba:</t>
        </r>
        <r>
          <rPr>
            <sz val="9"/>
            <color indexed="81"/>
            <rFont val="Tahoma"/>
            <family val="2"/>
          </rPr>
          <t xml:space="preserve">
Rehab sedang 19 ruang, RKB 9 Ruang, Perpustakaan 10 Ruang, Alat Peraga 3 Paket, Buku Perpus 8 Paket, Rehab Ruang Penunjang </t>
        </r>
      </text>
    </comment>
    <comment ref="N159" authorId="1">
      <text>
        <r>
          <rPr>
            <b/>
            <sz val="9"/>
            <color indexed="81"/>
            <rFont val="Tahoma"/>
            <family val="2"/>
          </rPr>
          <t>Toshiba:</t>
        </r>
        <r>
          <rPr>
            <sz val="9"/>
            <color indexed="81"/>
            <rFont val="Tahoma"/>
            <family val="2"/>
          </rPr>
          <t xml:space="preserve">
</t>
        </r>
      </text>
    </comment>
    <comment ref="S932" authorId="2">
      <text>
        <r>
          <rPr>
            <b/>
            <sz val="9"/>
            <color indexed="81"/>
            <rFont val="Tahoma"/>
            <family val="2"/>
          </rPr>
          <t>Catatan: Penyusunan RPJMD 2020-2025 anggaran 400juta</t>
        </r>
      </text>
    </comment>
    <comment ref="J1119" authorId="2">
      <text>
        <r>
          <rPr>
            <b/>
            <sz val="9"/>
            <color indexed="81"/>
            <rFont val="Tahoma"/>
            <family val="2"/>
          </rPr>
          <t>Catatan:
Data tahun 2014</t>
        </r>
      </text>
    </comment>
  </commentList>
</comments>
</file>

<file path=xl/sharedStrings.xml><?xml version="1.0" encoding="utf-8"?>
<sst xmlns="http://schemas.openxmlformats.org/spreadsheetml/2006/main" count="14651" uniqueCount="4116">
  <si>
    <t>SKPD</t>
  </si>
  <si>
    <t>Misi</t>
  </si>
  <si>
    <t>Tujuan</t>
  </si>
  <si>
    <t>Indikator Tujuan</t>
  </si>
  <si>
    <t>Sasaran</t>
  </si>
  <si>
    <t>Indikator Sasaran</t>
  </si>
  <si>
    <t xml:space="preserve">Program dan Kegiatan </t>
  </si>
  <si>
    <t>Target Kinerja Program dan Kerangka Pendanaan</t>
  </si>
  <si>
    <t>Lokasi</t>
  </si>
  <si>
    <t>Target</t>
  </si>
  <si>
    <t>Meningkatnya derajat kesehatan masyarakat</t>
  </si>
  <si>
    <t>Indek Survey Kepuasan Masyarakat terhadap layanan kesehatan</t>
  </si>
  <si>
    <t>RSUD</t>
  </si>
  <si>
    <r>
      <rPr>
        <u/>
        <sz val="9"/>
        <rFont val="Bookman Old Style"/>
        <family val="1"/>
      </rPr>
      <t>Misi 5</t>
    </r>
    <r>
      <rPr>
        <sz val="9"/>
        <rFont val="Bookman Old Style"/>
        <family val="1"/>
      </rPr>
      <t xml:space="preserve"> : Menyediakan sarana dan prasarana pendidikan yang baik, meningkatkan nilai kualitas pendidikan serta membuka akses kesehatan yang maksimal dan terjangkau bagi seluruh lapisan masyarakat</t>
    </r>
  </si>
  <si>
    <t>Meningkatnya kualitas sarana dan prasarana serta mutu dan manajemen pelayanan kesehatan</t>
  </si>
  <si>
    <t>Nilai kinerja kesehatan BLUD</t>
  </si>
  <si>
    <t>A</t>
  </si>
  <si>
    <t>Capaian target SPM</t>
  </si>
  <si>
    <t xml:space="preserve">Program Badan Layanan Umum Daerah                                       </t>
  </si>
  <si>
    <t>%</t>
  </si>
  <si>
    <t xml:space="preserve">Capaian target kinerja klinis </t>
  </si>
  <si>
    <t xml:space="preserve">Badan Layanan Umum Daerah Rumah Sakit Umum Daerah                                       </t>
  </si>
  <si>
    <t>Pelayanan Kegawatan Medik dan pelayanan kesehatan tingkat spesialistik</t>
  </si>
  <si>
    <t>Tersedianya Sistem Sarana, dan Prasarana yang modern dan sesuai standar nasional kelas B</t>
  </si>
  <si>
    <t>Peningkatan Sumber Daya Manusia yang Profesional dan berdaya saing</t>
  </si>
  <si>
    <t>Pengelolaan Manajemen yang mandiri secara keuangan dan menopang pengembangan layanan yang efektif dan efisien</t>
  </si>
  <si>
    <t>Sistem pengelolaan yang profesional, transparan, dan akuntabel.</t>
  </si>
  <si>
    <t>Bertambahnya Aset Daerah di RSUD</t>
  </si>
  <si>
    <t>Pengadaan Alat-alat Kesehatan Rumah Sakit (DAK);</t>
  </si>
  <si>
    <t xml:space="preserve">Pengadaan Alat-alat Kesehatan Rumah Sakit </t>
  </si>
  <si>
    <t>Total Anggaran</t>
  </si>
  <si>
    <t>Satuan</t>
  </si>
  <si>
    <t>5</t>
  </si>
  <si>
    <t>Misi 6. Memperkuat sekaligus meningkatkan tata kelola kepemerintahan yang baik dan bersih serta mampu menciptakan iklim pelayanan publik yang maksimal (Good and Clean Government) dengan jalan menciptakan kualitas pelayanan publik, sistem kelembagaan dan ketatalaksanaan pemerintah daerah yang bersih, efisien, efektif, profesional, transparan dan akuntabel, yang didukung dengan sistem pengawasan yang efektif guna menekan perilaku korupsi, kolusi serta meningkatkan pengetahuan, pemahaman dan pendalaman agama</t>
  </si>
  <si>
    <t>Meningkatnya kapasitas kelembagaan dan aparatur pemerintah</t>
  </si>
  <si>
    <t>Prosentase capaian kinerja pelayanan SKPD</t>
  </si>
  <si>
    <t>Program Pelayanan Administrasi Perkantoran</t>
  </si>
  <si>
    <t>Terselenggaranya pelayanan administrasi perkantoran</t>
  </si>
  <si>
    <t>Penyediaan jasa Surat Menyurat</t>
  </si>
  <si>
    <t>tersedianya perangko &amp; materai</t>
  </si>
  <si>
    <t>bulan</t>
  </si>
  <si>
    <t>Penyediaan Jasa Komunikasi Sumber daya air dan listrik</t>
  </si>
  <si>
    <t>tersedianya kebutuhan telepon, air, listrik dan faximili/internet kantor</t>
  </si>
  <si>
    <t>Penyediaan jasa pemeliharaan dan perizinan kendaraan dinas/operasional</t>
  </si>
  <si>
    <t xml:space="preserve">Tersedianya jasa pemeliharaan dan perizinan kendaraan dinas / operasional </t>
  </si>
  <si>
    <t>Penyediaan jasa administrasi keuangan</t>
  </si>
  <si>
    <t>Tersedianya jasa administrasi keuangan</t>
  </si>
  <si>
    <t>Penyediaan jasa kebersihan kantor</t>
  </si>
  <si>
    <t>tersedianya kebutuhan peralatan dan bahan kebersihan kantor</t>
  </si>
  <si>
    <t>Pentyediaan jasa perbaikan peralatan kerja</t>
  </si>
  <si>
    <t>Penyediaan alat tulis kantor</t>
  </si>
  <si>
    <t>Tersedianya alat tulis kantor</t>
  </si>
  <si>
    <t>Penyediaan barang cetakan dan penggandaan</t>
  </si>
  <si>
    <t>Tersedianya barang cetak dan penggandaan</t>
  </si>
  <si>
    <t>Penyediaan komponen instalasi listrik/penerangan bangunan kantor</t>
  </si>
  <si>
    <t>Tersedianya komponen listrik / penerangan</t>
  </si>
  <si>
    <t>Penyediaan bahan bacaan dan peraturan perundang-undangan</t>
  </si>
  <si>
    <t>Tersedianya bahan bacaan dan peraturan perundang-undangan</t>
  </si>
  <si>
    <t>Penyediaan makanan dan minuman</t>
  </si>
  <si>
    <t>Tersedianya makanan dan minuman untuk tamu dan rapat-rapat dinas</t>
  </si>
  <si>
    <t>Rapat-rapat kordinasi dan konsultasi ke luar daerah</t>
  </si>
  <si>
    <t>Terpenuhinya biaya rapat-rapat dan koordinasi keluar daerah</t>
  </si>
  <si>
    <t>Penunjang Administrasi Perkantoran</t>
  </si>
  <si>
    <t>Rapat -rapat Koordinasi dan Konsultasi dalam Daerah</t>
  </si>
  <si>
    <t>Terpenuhinya biaya rapat-rapat koordinasi dan konsultasi dalam daerah</t>
  </si>
  <si>
    <t>Program Peningkatan Sarana dan Prasarana Aparatur</t>
  </si>
  <si>
    <t>Bertambahnya  dan terpeliharanya sarana prasarana aparatur yang memadai</t>
  </si>
  <si>
    <t>Pengadaan Sarana dan Prasarana Kantor</t>
  </si>
  <si>
    <t>Tersedianya sarana dan prasarana kantor yang memadai</t>
  </si>
  <si>
    <t>paket</t>
  </si>
  <si>
    <t>Pemeliharaan rutin/ berkala Gedung kantor</t>
  </si>
  <si>
    <t>tercukupinya jasa pemeliharaan rutin /berkala gedung kantor</t>
  </si>
  <si>
    <t xml:space="preserve">Pos </t>
  </si>
  <si>
    <t>Pemeliharaan rutin/berkala mebeleur</t>
  </si>
  <si>
    <t>terpeliharanya mebeleur kantor</t>
  </si>
  <si>
    <t>unit</t>
  </si>
  <si>
    <t>Terpeliharanya  meubelair kantor</t>
  </si>
  <si>
    <t>Program pengembangan data/informasi</t>
  </si>
  <si>
    <t>Tersedianya dokumen perencanaan dan evaluasi pembangunan</t>
  </si>
  <si>
    <t>dokumen</t>
  </si>
  <si>
    <t>Penyusunan dan pengumpulan data/informasi kebutuhan penyusunan dokumen perencanaan</t>
  </si>
  <si>
    <t>Tersusunnya dokumen Renstra, Renja, LAKIP, LKPJ, LPPD, RKA/DPA</t>
  </si>
  <si>
    <t>Program Penataan Administrasi kependudukan</t>
  </si>
  <si>
    <t>Pembangunan dan pengoperasian SIAK secara terpadu</t>
  </si>
  <si>
    <t>Terlaksananya pengoperasian SIAK secara terpadu</t>
  </si>
  <si>
    <t>Implementasi Sistem Administrasi Kependudukan (membangun, updating, dan pemeliharaan)</t>
  </si>
  <si>
    <t xml:space="preserve">Terbangunnya Updating dan Pemeliharaan data digital arsip kependudukan dan pencatatan sipil </t>
  </si>
  <si>
    <t>Koordinasi pelaksanaan kebijakan kependudukan</t>
  </si>
  <si>
    <t>Terlaksanany koordinasi pelayanan kependudukan dan pencatatan sipil dengan institusi lainya</t>
  </si>
  <si>
    <t>Pengolahan dalam penyusunan laporan informasi kependudukan</t>
  </si>
  <si>
    <t>Tersedianya dokumen laporan informasi kependudukan</t>
  </si>
  <si>
    <t>Penyediaan informasi yang dapat diakses masyarakat</t>
  </si>
  <si>
    <t>Tersedianya akses informasi  pelayanan publik bidang administrasi kependudukan</t>
  </si>
  <si>
    <t>Peningkatan pelayanan publik dalam bidang kependudukan</t>
  </si>
  <si>
    <t>Tersedianya sarana prasarana pelayanan publik bidang kependudukan</t>
  </si>
  <si>
    <t>Pengembangan data base kependudukan</t>
  </si>
  <si>
    <t>Pembenahan database kependudukan berupa akte kelahiran di desa-desa</t>
  </si>
  <si>
    <t>desa</t>
  </si>
  <si>
    <t>Peningkatan kapasitas aparat kependudukan dan catatan sipil</t>
  </si>
  <si>
    <t>Terselenggaranya pembinaan  pengetahuan dan ketrampilan aparat kependudukan dan pencatatan siipil</t>
  </si>
  <si>
    <t>orang</t>
  </si>
  <si>
    <t>Sosialisasi kebijakan kependudukan</t>
  </si>
  <si>
    <t xml:space="preserve">Tersosialisasinya kebijakan kependudukan bagi masyarakat </t>
  </si>
  <si>
    <t>kali</t>
  </si>
  <si>
    <t>Peningkatan kapasitas kelembagaan kependudukan</t>
  </si>
  <si>
    <t>Terlaksananya pencatatan penerbitan akta kematian tahun 2016 sesuai standar pelayanan minimal</t>
  </si>
  <si>
    <t>buah</t>
  </si>
  <si>
    <t>Monitoring, evaluasi dan pelaporan</t>
  </si>
  <si>
    <t>Terlaksananya evaluasi pelayanan administrasi kependudukan yang optimal terhadap masyarakat masing-masing kecamatan</t>
  </si>
  <si>
    <t>kecamatan</t>
  </si>
  <si>
    <t>Pengadaan dan Pemeliharaan Sarana dan Prasarana Pendukung Administrasi Kependudukan</t>
  </si>
  <si>
    <t>Tersedianya Sarana Pencetakan KTP Elektronik di Kecamatan</t>
  </si>
  <si>
    <t>Terpeliharanya Sarpras bidang administrasi kependudukan</t>
  </si>
  <si>
    <t>Fasilitasi penyelenggaraan administrasi kependudukan</t>
  </si>
  <si>
    <t>2016</t>
  </si>
  <si>
    <t>2017</t>
  </si>
  <si>
    <t>2018</t>
  </si>
  <si>
    <t>2019</t>
  </si>
  <si>
    <t>2020</t>
  </si>
  <si>
    <t>2021</t>
  </si>
  <si>
    <r>
      <t>Misi 6. Memperkuat sekaligus meningkatkan tata kelola kepemerintahan yang baik dan bersih serta mampu menciptakan iklim pelayanan publik yang maksimal (</t>
    </r>
    <r>
      <rPr>
        <i/>
        <sz val="9"/>
        <rFont val="Bookman Old Style"/>
        <family val="1"/>
      </rPr>
      <t>Good and Clean Government</t>
    </r>
    <r>
      <rPr>
        <sz val="9"/>
        <rFont val="Bookman Old Style"/>
        <family val="1"/>
      </rPr>
      <t>) dengan jalan menciptakan kualitas pelayanan publik, sistem kelembagaan dan ketatalaksanaan pemerintah daerah yang bersih, efisien, efektif, profesional, transparan dan akuntabel, yang didukung dengan sistem pengawasan yang efektif guna menekan perilaku korupsi, kolusi serta meningkatkan pengetahuan, pemahaman dan pendalaman agama</t>
    </r>
  </si>
  <si>
    <t xml:space="preserve">Program Pelayanan Administrasi Perkantoran </t>
  </si>
  <si>
    <t>Terpenuhinya kebutuhan pelayanan administrasi perkantoran</t>
  </si>
  <si>
    <t>BKD</t>
  </si>
  <si>
    <t>Penyediaan jasa surat menyurat</t>
  </si>
  <si>
    <t>Tersedianya jasa pengiriman surat, paket dan pembelian materai</t>
  </si>
  <si>
    <t>Penyediaan jasa komunikasi, sumber daya air dan listrik</t>
  </si>
  <si>
    <t>Tersedianya biaya langganan telepon dan listrik</t>
  </si>
  <si>
    <t>Tersedianya jasa pemeliharaan dan perizinan kendaraan dinas/operasional</t>
  </si>
  <si>
    <t>Tersedianya peralatan dan bahan kebersihan kantor</t>
  </si>
  <si>
    <t>Penyediaan jasa perbaikan peralatan kerja</t>
  </si>
  <si>
    <t xml:space="preserve">Tersedianya jasa  perbaikan peralatan kantor, suku cadang, rumah tangga dan komputer </t>
  </si>
  <si>
    <t>Tersedianya Alat Tulis Kantor</t>
  </si>
  <si>
    <t>Tersedianya  barang cetakan dan penggandaan</t>
  </si>
  <si>
    <t>Tersedianya alat-alat listrik dan elektronik</t>
  </si>
  <si>
    <t>Penyediaan bahan bacaan dan peraturan perundang-undanga</t>
  </si>
  <si>
    <t>Tersedianya makanan dan minuman rapat dan tamu</t>
  </si>
  <si>
    <t>Rapat-rapat koordinasi dan konsultasi ke luar daerah</t>
  </si>
  <si>
    <t>Terlaksananya rapat-rapat koordinasi dan konsultasi ke luar daerah</t>
  </si>
  <si>
    <t>Rapat-Rapat  Koordinasi dan Konsultasi Dalam Daerah</t>
  </si>
  <si>
    <t>Terlaksananya rapat-rapat koordinasi dan perjalanan dinas dalam daerah</t>
  </si>
  <si>
    <t>Bertambahnya sarana dan prasarana kantor yang memadai</t>
  </si>
  <si>
    <t>Pengadaan Kendaraan dinas/operasional</t>
  </si>
  <si>
    <t>Tersedianya kendaraan dinas/operasinal kantor</t>
  </si>
  <si>
    <t>Pengadaan perlengkapan gedung kantor</t>
  </si>
  <si>
    <t>Tersedianya perlengkapan gedung kantor</t>
  </si>
  <si>
    <t>-File  Kepegawaian/Takah</t>
  </si>
  <si>
    <t>- Microphone Floor Stand</t>
  </si>
  <si>
    <t>- Stand/braket LCD Projector</t>
  </si>
  <si>
    <t>Pengadaan peralatan gedung kantor</t>
  </si>
  <si>
    <t xml:space="preserve">Tersedianya peralatan gedung kantor </t>
  </si>
  <si>
    <t>- Mesin Ketik Elektronik</t>
  </si>
  <si>
    <t>- AC Split 2 Pk</t>
  </si>
  <si>
    <t>- AC Split 1 PK</t>
  </si>
  <si>
    <t>- Laptop</t>
  </si>
  <si>
    <t>- Scanner</t>
  </si>
  <si>
    <t>- LCD Proyektor</t>
  </si>
  <si>
    <t>- Handicam</t>
  </si>
  <si>
    <t>Pengadaan mebeleur</t>
  </si>
  <si>
    <t>Tersedianya mebeleur kantor</t>
  </si>
  <si>
    <t>- Filling Besi/Metal</t>
  </si>
  <si>
    <t>- .Meja Kayu</t>
  </si>
  <si>
    <t>- Kursi Kerja Pejabat Es. III</t>
  </si>
  <si>
    <t>- Kursi Kerja Pejabat Es. IV</t>
  </si>
  <si>
    <t>Pemeliharaan rutin/berkala gedung kantor</t>
  </si>
  <si>
    <t>Terlaksananya pemeliharaan dan perawatan gedung kantor selama 1 tahun</t>
  </si>
  <si>
    <t>Terlaksananya pemeliharaan mebeleur kantor selama 1 tahun</t>
  </si>
  <si>
    <t>Program pengembangan data/informasi/statistik daerah</t>
  </si>
  <si>
    <t>Tersedianya dokumen database kepegawaian yang upto date</t>
  </si>
  <si>
    <t>Penyusunan dan pengumpulan data statistik daerah</t>
  </si>
  <si>
    <t xml:space="preserve">Tersusunnya data base kepegawaian </t>
  </si>
  <si>
    <t>Prosentase pegawai yg tidak dijatuhi hukuman disiplin</t>
  </si>
  <si>
    <t>Program peningkatan disiplin aparatur</t>
  </si>
  <si>
    <t>Monitoring dan evaluasi penegakan disiplin PNS</t>
  </si>
  <si>
    <t>Terselenggaranya monitoring dan evaluasi penegakan disiplin PNS secara berkala</t>
  </si>
  <si>
    <t>Prosentase penempatan ASN yang sesuai kebutuhan dan kompetensinya</t>
  </si>
  <si>
    <t>Program fasilitasi pindah/purna tugas PNS</t>
  </si>
  <si>
    <t>Pemindahan tugas PNS</t>
  </si>
  <si>
    <t>Terlaksananya pemindahan tugas Pegawai Negeri Sipil di lingkungan Pemerintah Kabupaten Kebumen yang dimutasikan</t>
  </si>
  <si>
    <t xml:space="preserve">Prosentase pegawai yang mengikuti Diklat Teknis </t>
  </si>
  <si>
    <t>Program Pendidikan Kedinasan</t>
  </si>
  <si>
    <t>Pendidikan dan pelatihan teknis</t>
  </si>
  <si>
    <t>Terlaksananya pendidikan dan pelatihan teknis bagi PNS</t>
  </si>
  <si>
    <t>Peningkatan keterampilan dan profesionalisme</t>
  </si>
  <si>
    <t>Pengiriman PNS mengikuti diklat ke lembaga-lembaga diklat</t>
  </si>
  <si>
    <t>Program peningkatan kapasitas sumberdaya aparatur</t>
  </si>
  <si>
    <t>Pendidikan dan pelatihan prajabatan bagi calon PNS Daerah</t>
  </si>
  <si>
    <t>Terlaksananya Pendidikan dan pelatihan prajabatan bagi calon Pegawai Negeri Sipil Daerah Golongan II dan Golongan III</t>
  </si>
  <si>
    <t>Pendidikan dan pelatihan struktural bagi PNS Daerah</t>
  </si>
  <si>
    <t>Pengiriman PNS untuk mengikuti Pendidikan dan pelatihan Kepemimpinan Tingkat II, III dan IV</t>
  </si>
  <si>
    <t>Pendidikan dan pelatihan fungsional bagi PNS Daerah</t>
  </si>
  <si>
    <t>Terlaksananya Pendidikan dan pelatihan fungsional bagi PNS Daerah</t>
  </si>
  <si>
    <t>Pengiriman peserta ujian dinas,ujian PI serta terbitnya ijin belajar dan penggunaan gelar</t>
  </si>
  <si>
    <t>Pengiriman peserta Ujian Dinas dan Ujian Kenaikan Pangkat Penyesuaian Ijasah, Jumlah PNS yang mendapatkan Ijin Belajar dan Ijin Penggunaan Gelar Akademik</t>
  </si>
  <si>
    <t>Terfasilitasinya aparatur pemerintah sejak perekrutan, penempatan, pengembangan karier sampai dengan penghargaan prestasi</t>
  </si>
  <si>
    <t>Program pembinaan dan pengembangan aparatur</t>
  </si>
  <si>
    <t>Penyusunan rencana pembinaan karir PNS</t>
  </si>
  <si>
    <t>Penerbitan SK Jabatan Fungsional dan terlaksananya rapat koordinasi jabatan fungsional</t>
  </si>
  <si>
    <t>SK</t>
  </si>
  <si>
    <t>Seleksi penerimaan calon PNS</t>
  </si>
  <si>
    <t>Terseleksinya pelamar CPNS yang sesuai formasi yang dibutuhkan</t>
  </si>
  <si>
    <t>Penempatan PNS</t>
  </si>
  <si>
    <t>Terfasilitasinya pengangkatan CPNS menjadi PNS untuk ditempatkan sesuai formasi</t>
  </si>
  <si>
    <t>Penataan sistem administrasi kenaikan pangkat otomatis PNS</t>
  </si>
  <si>
    <t>Terlaksananya proses pengusulan, penetapan dan penyerahan SK Kenaikan Pangkat</t>
  </si>
  <si>
    <t>Pembangunan/pengembangan sistem informasi kepegawaian daerah</t>
  </si>
  <si>
    <t>Terpeliharanya data SIMPEG yang dikelola, penerbitan KPE/NIP baru yang diproses, tersusunnya buku profil yang dibuat, dan terlaksananya rakor/sosialisasi SIMPEG yang diselenggarakan</t>
  </si>
  <si>
    <t>data pegawai</t>
  </si>
  <si>
    <t>Seleksi dan penetapan PNS untuk tugas belajar</t>
  </si>
  <si>
    <t>Jumlah PNS yang diseleksi untuk mengikuti tugas belajar</t>
  </si>
  <si>
    <t>Pemberian penghargaan bagi PNS yang berprestasi</t>
  </si>
  <si>
    <t>Terlaksananya Penerbitan Satya Lencana Karya Satya (SLKS), Kartu Pegawai (KARPEG), Kartu Isteri (KARIS)/Kartu Suami (KARSU), Kartu Peserta Taspen (KPT) yang diusulkan</t>
  </si>
  <si>
    <t xml:space="preserve">kartu </t>
  </si>
  <si>
    <t>Proses penanganan kasus-kasus pelanggaran disiplin PNS</t>
  </si>
  <si>
    <t>Terselesaikannya  kasus-kasus pelanggaran disiplin PNS dan terlaksananya pemberian ijin perceraian PNS serta pengujian kesehatan</t>
  </si>
  <si>
    <t>Pemberian bantuan tugas belajar dan ikatan dinas</t>
  </si>
  <si>
    <t>Pemberian bantuan bagi PNS yang menerima bantuan tugas belajar</t>
  </si>
  <si>
    <t>Pemberian bantuan penyelenggaraan penerimaan Praja IPDN</t>
  </si>
  <si>
    <t>Jumlah seleksi penerimaan Praja IPDN</t>
  </si>
  <si>
    <t>even</t>
  </si>
  <si>
    <t>Tersusunnya laporan absensi dan jumlah penyelenggaraan sosialisasi pengelolaan mutasi dan pendataan Pegawai Negeri Sipil</t>
  </si>
  <si>
    <t>instansi</t>
  </si>
  <si>
    <t>Koordinasi penyelenggaraan diklat</t>
  </si>
  <si>
    <t xml:space="preserve">Koordinasi dan sinkronisasi program diklat dengan lembaga penyelenggara diklat </t>
  </si>
  <si>
    <t>Penataan Pejabat Struktural di Lingkungan Pemerintah Kabupaten Kebumen</t>
  </si>
  <si>
    <t>Terlaksananya proses penataan Pejabat Struktural di Lingkungan Pemerintah Kabupaten Kebumen untuk pejabat struktural eselon II, III, IV</t>
  </si>
  <si>
    <t>Pengambilan Sumpah PNS di Lingkungan Pemkab Kebumen</t>
  </si>
  <si>
    <t>Terlaksananya Pengambilan Sumpah PNS di Lingkungan Pemkab Kebumen</t>
  </si>
  <si>
    <t>Pelaksanaan penetapan pensiun bagi PNS di Lingkungan Pemkab Kebumen</t>
  </si>
  <si>
    <t>Terlaksananya proses penetapan pensiun bagi PNS di Lingkungan Pemerintah Kabupaten Kebumen</t>
  </si>
  <si>
    <t>Penyusunan data formasi dan DUK</t>
  </si>
  <si>
    <t>Tersusunnya data formasi dan Daftar Urut Kepangkatan (DUK)</t>
  </si>
  <si>
    <t>Pengelolaan Administrasi Kepegawaian</t>
  </si>
  <si>
    <t>Terkelolanya administrasi kepegawaian</t>
  </si>
  <si>
    <t>berkas</t>
  </si>
  <si>
    <t>Terselenggaranya Pelayanan Administrasi Perkantoran berupa pengiriman surat, paket dan pembelian materai</t>
  </si>
  <si>
    <t xml:space="preserve">Bulan </t>
  </si>
  <si>
    <t xml:space="preserve">Terpenuhinya biaya langganan telepon, air dan listrik </t>
  </si>
  <si>
    <t>Terealisasinya pemeliharaan kendaraan dan pembelian bahan bakar minyak, oli/pelumas serta pembayaran pajak kendaraan dinas</t>
  </si>
  <si>
    <t xml:space="preserve">Terlaksananya pemberian jasa administrasi keuangan kepada Pengguna Anggaran,pejabat penatausahaan keuangan, pejabat pelaksana teknis kegiatan, bendahara keuangan, petugas penatausahaan keuangan, staf administrasi, pengurus barang dan penyimpan barang </t>
  </si>
  <si>
    <t xml:space="preserve">Terpenuhinya kebutuhan alat kebersihan, bahan pembersih dan pengharum </t>
  </si>
  <si>
    <t xml:space="preserve">Terlaksananya jasa perbaikan peralatan kantor, suku cadang, peralatan rumah tangga, AC, komputer dan perlengkapannya </t>
  </si>
  <si>
    <t xml:space="preserve">Terpenuhinya penyediaan alat tulis kantor </t>
  </si>
  <si>
    <t xml:space="preserve">Terpenuhinya kebutuhan penyediaan barang cetakan dan penggandaan </t>
  </si>
  <si>
    <t xml:space="preserve">Tercukupinya belanja alat-alat listrik dan elektronik </t>
  </si>
  <si>
    <t xml:space="preserve">Tersedianya bahan bacaan dan peraturan perundang-undangan </t>
  </si>
  <si>
    <t xml:space="preserve">Terpenuhinya kebutuhan makanan dan minuman rapat/tamu </t>
  </si>
  <si>
    <t xml:space="preserve">Terlaksananya rapat-rapat koordinasi dan konsultasi ke luar daerah </t>
  </si>
  <si>
    <t xml:space="preserve">Tercukupinya rapat-rapat koordinasi dan perjalanan dinas dalam daerah </t>
  </si>
  <si>
    <t>Bertambahnya sarana prasarana aparatur yang memadai</t>
  </si>
  <si>
    <t xml:space="preserve">Pengadaan perlengkapan Kantor </t>
  </si>
  <si>
    <t>Unit</t>
  </si>
  <si>
    <t xml:space="preserve">Pengadaan Meubelair </t>
  </si>
  <si>
    <t xml:space="preserve">Pengadaan Peralatan Kantor </t>
  </si>
  <si>
    <t>Terlaksananya pemeliharaan dan perawatan gedung kantor</t>
  </si>
  <si>
    <t>Terlaksananya pemeliharaan mebeleur kantor</t>
  </si>
  <si>
    <t xml:space="preserve">Tersusunnya Renstra, Renja, LAKIP, LKPJ, LPPD, RKA/DPA, RKAP/DPPA </t>
  </si>
  <si>
    <t>Dokumen</t>
  </si>
  <si>
    <t>Tersedianya dokumen database perpustakaan dan arsip</t>
  </si>
  <si>
    <t xml:space="preserve">Terwujudnya  database Perpustakaan dan Kearsipan </t>
  </si>
  <si>
    <t xml:space="preserve">Dokumen </t>
  </si>
  <si>
    <t>Program penyelamatan dan pelestarian dokumen/arsip daerah</t>
  </si>
  <si>
    <t>Persentase jumlah unit kerja yang menerapkan arsip baku</t>
  </si>
  <si>
    <t>Pendataan dan penataan dokumen/arsip daerah</t>
  </si>
  <si>
    <t>Terlaksananya kegiatan monitoring pengelolaan arsip desa</t>
  </si>
  <si>
    <t>Desa</t>
  </si>
  <si>
    <t>Terlaksananya penataan arsip in aktif di Depo  Lembaga Kearsipan Daerah.</t>
  </si>
  <si>
    <t>Penataan dan pemeliharaan arsip daerah</t>
  </si>
  <si>
    <t xml:space="preserve">Terwujudnya pengelolaan Arsip secara baku / otomasi kearsipan </t>
  </si>
  <si>
    <t>Unit Kerja/ desa</t>
  </si>
  <si>
    <t>Program peningkatan kualitas pelayanan informasi</t>
  </si>
  <si>
    <t>Prosentase peningkatan layanan informasi arsip</t>
  </si>
  <si>
    <t>Penyusunan dan penerbitan naskah sumber arsip</t>
  </si>
  <si>
    <t>Terwujudnya pengadaan khasanah arsip daerah</t>
  </si>
  <si>
    <t>Khasanah</t>
  </si>
  <si>
    <t>kegiatan</t>
  </si>
  <si>
    <t>Penyediaan sarana layanan informasi arsip</t>
  </si>
  <si>
    <t xml:space="preserve">Terselenggaranya Koordinasi petugas arsip </t>
  </si>
  <si>
    <t>Petugas arsip unit kerja</t>
  </si>
  <si>
    <t>Sosialisasi/penyuluhan kearsipan dilingkungan instansi pemerintah/swasta</t>
  </si>
  <si>
    <t>Meningkatnya Kemampuan petugas arsip Desa ,petugas Arsip unit kerja dan terlaksananya lomba arsip desa</t>
  </si>
  <si>
    <t>Petugas arsip desa/ unit kerja</t>
  </si>
  <si>
    <t>Kegiatan</t>
  </si>
  <si>
    <t>Misi 1 : Membangun sumber daya manusia yang memiliki wawasan luas, tangguh serta berkemajuan melalui pendidikan dan kesehatan yang berkualitas</t>
  </si>
  <si>
    <t>Meningkatnya derajat pendidikan masyarakat</t>
  </si>
  <si>
    <t>Capaian kunjungan perpustakaan</t>
  </si>
  <si>
    <t>terlaksananya bimbingan teknis pengelola perpustakaan</t>
  </si>
  <si>
    <t>Meningkatnya pengelolaan perpustakaan di unit-unit perpustakaan umum, khusus, sekolah dan desa</t>
  </si>
  <si>
    <t>Program Pengembangan Budaya Baca dan Pembinaan Perpustakaan</t>
  </si>
  <si>
    <t>Pengembangan minat dan budaya baca</t>
  </si>
  <si>
    <t xml:space="preserve">Terlaksananya layanan perpustakaan Keliling </t>
  </si>
  <si>
    <t xml:space="preserve">Kunjungan </t>
  </si>
  <si>
    <t xml:space="preserve">terlaksananya fasilitasi kegiatan masyarakat </t>
  </si>
  <si>
    <t xml:space="preserve">Kegiatan </t>
  </si>
  <si>
    <t>Supervisi, pembinaan dan stimulasi pada perpustakaan umum, perpustakaan khusus, perpustakaan sekolah dan perpustakaan masyarakat</t>
  </si>
  <si>
    <t xml:space="preserve">Meningkatnya pengelolaan perpustakaan umum, perpustakaan khusus, dan perpustakaan sekolah </t>
  </si>
  <si>
    <t xml:space="preserve">Perpustakaan </t>
  </si>
  <si>
    <t>Pelaksanaan koordinasi pengembangan perpustakaan</t>
  </si>
  <si>
    <t xml:space="preserve">Meningkatnya pengelolaan perpustakaan desa </t>
  </si>
  <si>
    <t xml:space="preserve">Terlaksananya lomba perpustakaan desa </t>
  </si>
  <si>
    <t>Publikasi dan sosialisasi minat dan budaya baca</t>
  </si>
  <si>
    <t xml:space="preserve">Terlaksananya lomba bercerita </t>
  </si>
  <si>
    <t xml:space="preserve">Terlaksananya Kegiatan Story Telling </t>
  </si>
  <si>
    <t>Kali</t>
  </si>
  <si>
    <t>Terlaksananya lomba (penulisan artikel,membaca puisi) , bedah buku, workshop GPMB (Gerakan Pemasyarakatan Minat Baca) , tersedianya Kado Cantik / Merchandise Perpustakaan</t>
  </si>
  <si>
    <t>Penyediaan bahan pustaka perpustakaan umum daerah</t>
  </si>
  <si>
    <t xml:space="preserve">Bertambahnya koleksi bahan pustaka buku dan CD </t>
  </si>
  <si>
    <t>koleksi</t>
  </si>
  <si>
    <t>terlaksananya pelestarian bahan pustaka dan stock opname (kegiatan)</t>
  </si>
  <si>
    <t>Perekaman dan digitalisasi bahan pustaka</t>
  </si>
  <si>
    <t xml:space="preserve">Terdokumentasinya bahan pustaka secara digital </t>
  </si>
  <si>
    <t>jenis</t>
  </si>
  <si>
    <t>terbentuknya jaringan informasi perpustakaan</t>
  </si>
  <si>
    <t>-</t>
  </si>
  <si>
    <t xml:space="preserve">Terselenggaranya kegiatan pameran buku dan arsip </t>
  </si>
  <si>
    <t xml:space="preserve">Program Keluarga Berencana </t>
  </si>
  <si>
    <t xml:space="preserve">Peningkatan pelayanan KB dikecamatan </t>
  </si>
  <si>
    <t>Pengadaan saranan dan prasarana pendukung pelayanan KB</t>
  </si>
  <si>
    <t>pengadaan kendaraan fungsional pelayanan KB</t>
  </si>
  <si>
    <t>..............</t>
  </si>
  <si>
    <t>...............</t>
  </si>
  <si>
    <t>.............</t>
  </si>
  <si>
    <t>set</t>
  </si>
  <si>
    <t>............</t>
  </si>
  <si>
    <t>Paket</t>
  </si>
  <si>
    <t>Pembinaan PetugasKeluarga Berencana</t>
  </si>
  <si>
    <t>Terlaksananya pembinaan PPKD, Sub PPKBD, Petugas Pencatatan dan pelaporan KB</t>
  </si>
  <si>
    <t>kelompok</t>
  </si>
  <si>
    <t>Pelayanan KIE</t>
  </si>
  <si>
    <t>Terlaksananya komunikasi informasi dan edukasi Pembangunan Pemberdayaan perempuan dan Keluarga Berencana</t>
  </si>
  <si>
    <t xml:space="preserve"> kali</t>
  </si>
  <si>
    <t>Program Pelayanan Kontrasepsi</t>
  </si>
  <si>
    <t>Terlayaninya calon akseptor IMP, MOP, MOW, IUD, SUNTIK, PIL, KONDOM</t>
  </si>
  <si>
    <t>akseptor</t>
  </si>
  <si>
    <t>Pelayanan Pemasangan Kontrasepsi KB</t>
  </si>
  <si>
    <t>Pengadaan Alat Kontrasepsi</t>
  </si>
  <si>
    <t>Tersedianya alat kontrasepsi implant</t>
  </si>
  <si>
    <t>Pelayanan KB Medis Operasi</t>
  </si>
  <si>
    <t>Terlayaninya Peserta KB MOW</t>
  </si>
  <si>
    <t>Program dan penciptaan iklim usaha kecil menengah yang konduksif</t>
  </si>
  <si>
    <t>Meningkatkan jumlah kegiatan dan beragam jenis usah kelompok</t>
  </si>
  <si>
    <t xml:space="preserve">Fasilitasi Pengembangan Usaha Kecil Menengah. </t>
  </si>
  <si>
    <t>Orientasi 120 Kader Klpk UPPKS, 7 kelompok bantuan peralatan UPPKS.</t>
  </si>
  <si>
    <t>Program Penyiapan tenaga pendamping kelompok bina keluarga</t>
  </si>
  <si>
    <t>Pemberdayaan kader kelompok Tribina</t>
  </si>
  <si>
    <t>Pemberdayaan BKB,BKR,BKL dan Bina Lembaga Keluarga.</t>
  </si>
  <si>
    <t xml:space="preserve">Orientasi Kader dan Pembinaan kelompok Tribina (BKB,BKR dan BKL) </t>
  </si>
  <si>
    <t>Misi 4 :  Meningkatkan perekonomian daerah yang memiliki daya saing tinggi berbasis pertanian, industri, perikanan, pariwisata dan budaya melalui proses pembangunan ekonomi yang berkesinambungan dalam rangka meningkatkan kesejahteraan dan mengurangi kemiskinan</t>
  </si>
  <si>
    <t>Mewujudkan masyarakat yang berdaya dan sejahtera</t>
  </si>
  <si>
    <t>Program penguatan kelembagaan pengarusutamaan gender dan anak</t>
  </si>
  <si>
    <t>Meningkatnya Kapasitas dan jaringan kelembagaan</t>
  </si>
  <si>
    <t>Penguatan KPAD</t>
  </si>
  <si>
    <t>Terfasilitasinya KPAD/K di 460 Desa/ Kelurahan dan 1 Forum KPAD kabupaten</t>
  </si>
  <si>
    <t>Pembentukan Desa Ramah Anak</t>
  </si>
  <si>
    <t>Terbentuknya Desa Ramah Anak</t>
  </si>
  <si>
    <t>desa/kel</t>
  </si>
  <si>
    <t>Penguatan gugus Tugas KLA</t>
  </si>
  <si>
    <t>Terfasilitasinya Gugus Tugas KLA 1 Kelompok, dan tersosialisasinya RAD KLA</t>
  </si>
  <si>
    <t>Penguatan Forum Anak</t>
  </si>
  <si>
    <t>Terfasilitasinya 27 Forum Anak di Kabupaten Kebumen</t>
  </si>
  <si>
    <t>Fasilitasi upaya perlindungan perempuan terhadap tindak kekerasan</t>
  </si>
  <si>
    <t>Terpenuhinya Hak Anak melalui sosialisasi pemenuhan hak anak di sekolah</t>
  </si>
  <si>
    <t>Kegiatan Fasilitasi Pengembangan P2TP2</t>
  </si>
  <si>
    <t>120 Korban Kekerasan Berbasis Gender dan anak</t>
  </si>
  <si>
    <t>kasus</t>
  </si>
  <si>
    <t>Pelaksanaan kebijakan perlindungan perempuan di daerah</t>
  </si>
  <si>
    <t>2 Pokja BK TKI Tingkat Kecamatan dan 2 Pokja BK TKI Tingkat Desa</t>
  </si>
  <si>
    <t xml:space="preserve">Penyusunan Sistem Regulasi Perlindungan Perempuan di Daerah </t>
  </si>
  <si>
    <t>Produk hukum (RAD/Perda/Perbup)</t>
  </si>
  <si>
    <t>regulasi</t>
  </si>
  <si>
    <t xml:space="preserve">Kegiatan Sosialisasi yang terkait dengan PP dan PA </t>
  </si>
  <si>
    <t>FPG</t>
  </si>
  <si>
    <t>Jejak Walet</t>
  </si>
  <si>
    <t>Desa PUG</t>
  </si>
  <si>
    <t>Program Peningkatan Peran Serta dan Kesetaraan Gender dalam Pembangunan</t>
  </si>
  <si>
    <t xml:space="preserve">Meningkatnya Pemahaman, kemampuan &amp; ketrampilan perempuan </t>
  </si>
  <si>
    <t>organisasi</t>
  </si>
  <si>
    <t>Kegiatan Pembinaan Organisasi Perempuan</t>
  </si>
  <si>
    <t>Penguatan Kelembagaan PUG, Kesetaraan &amp; Keadilan Gender</t>
  </si>
  <si>
    <t>Pengembangan Sistim Informasi Gender dan Anak</t>
  </si>
  <si>
    <t>Pengelolaan data pilah gender berbasis web dan Pemanfaatan SIGA dalam PPRG sebagai salah satu sumber data dalam proses perencanaan Pembangunan</t>
  </si>
  <si>
    <t>Buku</t>
  </si>
  <si>
    <t>Program Peningkatan Peran Perempuan di Pedesaan</t>
  </si>
  <si>
    <t>Pembinaan PKK</t>
  </si>
  <si>
    <t>Fasilitasi Kegiatan TP-PKK Kecamatan dan kabupaten</t>
  </si>
  <si>
    <t>Prosentase capaian pelayanan SKPD</t>
  </si>
  <si>
    <t>Terpenuhinya kebutuhan sarana pelayanan administrasi perkantoran</t>
  </si>
  <si>
    <t>Tersedianya kebutuhan jasa surat menyurat</t>
  </si>
  <si>
    <t>Tersedianya kebutuhan jasa komunikasi, sumber daya air dan listrik</t>
  </si>
  <si>
    <t>Tersedianya jasa Pemeliharaan dan perizinan kendaraan dinas/ operasional</t>
  </si>
  <si>
    <t>Tersedianya kebutuhan jasa Administrasi Keuangan</t>
  </si>
  <si>
    <t>Tersedianya kebutuhan untuk Jasa Kebersihan Kantor</t>
  </si>
  <si>
    <t>Terpeliharanya peralatan kerja</t>
  </si>
  <si>
    <t>Tersedianya kebutuhan Alat Tulis Kantor</t>
  </si>
  <si>
    <t>Tersedianya kebutuhan barang cetakan dan penggandaan</t>
  </si>
  <si>
    <t>Tersedianya kebutuhan alat penerangan kantor</t>
  </si>
  <si>
    <t>Tersedianya kebutuhan bahan bacaan dan peraturan perundang-undangan</t>
  </si>
  <si>
    <t>Tersedianya kebutuhan makanan dan minuman rapat dan tamu</t>
  </si>
  <si>
    <t>Rapat-rapat koordinasi dan konsultasi luar daerah</t>
  </si>
  <si>
    <t>Rapat-rapat koordinasi dan konsultasi dalam daerah</t>
  </si>
  <si>
    <t xml:space="preserve">Tersedianya peralatan kantor: LCD, Komputer, Faximile, Printer, Laptop dan kendaraan dinas roda 2 </t>
  </si>
  <si>
    <t xml:space="preserve">Tersedianya perlengkapan  kantor berupa mebeler : Kursi kerja, kursi rapat, meja rapat, lemari arsip  </t>
  </si>
  <si>
    <t>Pengadaan Tanah</t>
  </si>
  <si>
    <t xml:space="preserve">Tersedianya tanah untuk ruang rapat dan gudang alkon </t>
  </si>
  <si>
    <t>Rehabilitasi sedang/berat gedung kantor</t>
  </si>
  <si>
    <t>Tersedianya Pagar dan paving gedung kantor</t>
  </si>
  <si>
    <t>Terpeliharanya gedung kantor BPPKB  dan Balai Penyuluhan KB</t>
  </si>
  <si>
    <t>Terpeliharanya mebeler kantor</t>
  </si>
  <si>
    <t>Program Pengembangan Data/Informasi</t>
  </si>
  <si>
    <t>Tersedianya dokumen Perencanaan dan Evaluasi Pembanngunan</t>
  </si>
  <si>
    <t>Tersusunnya Dokumen Perencanaan dan Evaluasi Pembangunan (Renja, Renstra LAKIP,LPPD)</t>
  </si>
  <si>
    <t>Program Pengembangan Data/Informasi/Statistik Daerah</t>
  </si>
  <si>
    <t>Keg Penyusunan dan pengumpulan data statistik daerah</t>
  </si>
  <si>
    <t>Tersusunnya database PPKB</t>
  </si>
  <si>
    <t>Program  Pembinaan dan Pengembanagan Aparatur</t>
  </si>
  <si>
    <t>Teridentifikasinya angka kredit bagi penyuluh KB</t>
  </si>
  <si>
    <t>Keg. Penyusunan rencana pembinaan karir PNS</t>
  </si>
  <si>
    <t>Program Penataan Administrasi Kependudukan</t>
  </si>
  <si>
    <t>Teridentifikasinya data kependudukan</t>
  </si>
  <si>
    <t>Pengembangan data Base Kependudukan</t>
  </si>
  <si>
    <t>Identifikasi data kependudukan</t>
  </si>
  <si>
    <t>SATUAN</t>
  </si>
  <si>
    <r>
      <rPr>
        <u/>
        <sz val="9"/>
        <rFont val="Bookman Old Style"/>
        <family val="1"/>
      </rPr>
      <t>Misi 2</t>
    </r>
    <r>
      <rPr>
        <sz val="9"/>
        <rFont val="Bookman Old Style"/>
        <family val="1"/>
      </rPr>
      <t xml:space="preserve"> : Peningkatan kesejahteraan dan perlindungan sosial masyarakat dengan melakukan pemerataan dan penyeimbangan pembangunan secara berkelanjutan untuk mengurangi kesenjangan ekonomi, sosial, politik dan budaya serta melakukan pembangunan yang bukan terfokus hanya pada aspek fisik saja tetapi juga aspek non fisik berupa pengembangan potensi intelektual, rohaniah, intuisi, kata hati, akal sehat, fitrah dan yang bersifat batin lainnya dalam bingkai kebersamaan dan sinergitas antar elemen masyarakat</t>
    </r>
  </si>
  <si>
    <t>Terwujudnya masyarakat yang tenteram dan tertib berdasarkan kesadaran atas hukum</t>
  </si>
  <si>
    <t>Program peningkatan keamanan dan kenyamanan lingkungan</t>
  </si>
  <si>
    <t>Penyiapan tenaga pengendali keamanan dan kenyamanan lingkungan</t>
  </si>
  <si>
    <t>Tersedianya tenaga bantu Satpol PP Kabupaten Kebumen</t>
  </si>
  <si>
    <t>Orang</t>
  </si>
  <si>
    <t>Pengendalian keamanan lingkungan</t>
  </si>
  <si>
    <t>Tercukupinya honorarium tim pengendalian keamanan dan kenyamanan lingkungan</t>
  </si>
  <si>
    <t xml:space="preserve">Database Satlinmas di Kab. Kebumen  </t>
  </si>
  <si>
    <t>Pembinaan anggota Linmas</t>
  </si>
  <si>
    <t xml:space="preserve">Terlaksananya renval kegiatan, Rakor anggota Linmas tingkat kabupaten, honor pelatih petugas Upacara 17an, pengiriman peserta Upacara HUT Linmas tingkat provinsi, </t>
  </si>
  <si>
    <t xml:space="preserve"> Pelatihan anggota Linmas</t>
  </si>
  <si>
    <t>terlaksananya pelatihan anggota Linmas Desa, pengiriman anggota Linmas ke tingkat provinsi</t>
  </si>
  <si>
    <t>Program pemeliharaan kantrantibmas dan pencegahan tindak kriminal</t>
  </si>
  <si>
    <t>Pengawasan pengendalian dan evaluasi kegiatan polisi pamong praja</t>
  </si>
  <si>
    <t xml:space="preserve"> Peningkatan kerjasama dengan aparat keamanan dalam teknik pencegahan kejahatan</t>
  </si>
  <si>
    <t>Terlaksananya kerjasama dengan aparat keamanan dalam teknik pencegahan kejahatan dalam rangka menjaga ketenteraman masyarakat</t>
  </si>
  <si>
    <t>Peningkatan kapasitas aparat dalam rangka pelaksanaan siskamswakarsa di daerah</t>
  </si>
  <si>
    <t>Terlaksananya pengamanan Pilkada dan Pelantikan Bupati dan Wakil Bupati dengan tertib dan lancar</t>
  </si>
  <si>
    <t>Penegakan Peraturan Daerah</t>
  </si>
  <si>
    <t>Terlaksananya operasi dan koordinasi upaya penegakan Perda dan Perkada</t>
  </si>
  <si>
    <t>Pengawasan dan penertiban Cukai Rokok palsu</t>
  </si>
  <si>
    <t>Terlaksananya penertiban operasi peredaran rokok palsu di wilayah Kabupaten Kebumen</t>
  </si>
  <si>
    <t>Meningkatnya jumlah satlinmas</t>
  </si>
  <si>
    <t>Program pemberdayaan masyarakat untuk menjaga ketertiban dan keamanan</t>
  </si>
  <si>
    <t>Pembentukan satuan keamanan lingkungan di masyarakat</t>
  </si>
  <si>
    <t>Terbentuknya Satlinmas Inti Kab. Kebumen 3 pleton (105 orang)</t>
  </si>
  <si>
    <t>Koordinasi pelaksanaan peningkatan pengamanan dan penegakan ketertiban umum</t>
  </si>
  <si>
    <t>Keamanan dan ketertiban rel kereta api tanpa palang pintu, terlaksananya peran serta anggota Satlinmas dalam membantu penanganan bencana, pemberdayaan Satlinmas, terlaksananya keamanan dalam pelaksanaan Pemilihan Umum</t>
  </si>
  <si>
    <t>Pembentukan kader siaga trantib</t>
  </si>
  <si>
    <t>terbentuknya kader siaga trantib</t>
  </si>
  <si>
    <t>Terpenuhinya kebutuhan sarana prasarana pelayanan administrasi kantor</t>
  </si>
  <si>
    <t>Tersedianya jasa surat menyurat</t>
  </si>
  <si>
    <t>Tersedianya jasa komunikasi, air dan listrik</t>
  </si>
  <si>
    <t>Tercukupinya jasa pemeliharaan dan perizinan kendaraan dinas/operasional</t>
  </si>
  <si>
    <t>Tercukupinya jasa pelayanan administrasi perkantoran</t>
  </si>
  <si>
    <t>Tersedianya jasa kebersihan kantor</t>
  </si>
  <si>
    <t xml:space="preserve"> Penyediaan jasa perbaikan peralatan kerja</t>
  </si>
  <si>
    <t>Tersedianya jasa perbaikan peralatan kerja</t>
  </si>
  <si>
    <t xml:space="preserve"> Penyediaan alat tulis kantor</t>
  </si>
  <si>
    <t xml:space="preserve"> Penyediaan barang cetakan dan penggandaan</t>
  </si>
  <si>
    <t>Tersedianya barang cetakan dan penggandaan</t>
  </si>
  <si>
    <t>Tersedianya komponen instalasi listrik/penerangan bangunan kantor</t>
  </si>
  <si>
    <t xml:space="preserve"> Penyediaan bahan bacaan dan peraturan perundang-undangan</t>
  </si>
  <si>
    <t>Tersedianya makanan dan minuman untuk kepentingan dinas</t>
  </si>
  <si>
    <t>Tercukupinya perjalanan dinas luar daerah dalam rangka koordinasi dan konsultasi</t>
  </si>
  <si>
    <t>Penunjang administrasi perkantoran</t>
  </si>
  <si>
    <t>Tercukupinya jasa penunjang administrasi perkantoran</t>
  </si>
  <si>
    <t>Tercukupinya perjalanan dinas dalam daerah dalam rangka koordinasi dan konsultasi</t>
  </si>
  <si>
    <t>Program peningkatan sarana dan prasarana aparatur</t>
  </si>
  <si>
    <t>Pengadaan kendaraan dinas/operasional</t>
  </si>
  <si>
    <t>Tercukupinya kendaraan dinas/operasional</t>
  </si>
  <si>
    <t>Tercukupinya mobil dinas/operasional</t>
  </si>
  <si>
    <t>Pengadaan sarana dan prasarana kantor</t>
  </si>
  <si>
    <t>Tercukupinya kebutuhan sarana dan prasarana kantor</t>
  </si>
  <si>
    <t>Pengadaan perlengkapan gedung antor</t>
  </si>
  <si>
    <t>Tercukupinya perlengkapan gedung kantor</t>
  </si>
  <si>
    <t>Tercukupinya mebeleur kantor</t>
  </si>
  <si>
    <t>Terpeliharanya pemeliharaan gedung kantor</t>
  </si>
  <si>
    <t xml:space="preserve"> Penyusunan dan pengumpulan data/informasi kebutuhan penyusunan dokumen perencanaan</t>
  </si>
  <si>
    <t>Terlaksananya penyusunan dan pengumpulan data/informasi kebutuhan penyusunan dokumen perencanaan berupa Renstra, Renja, DPA, DPPA, RKA, LAKIP, Forum SKPD dan dokumen perencanaan lainnya</t>
  </si>
  <si>
    <t xml:space="preserve"> Penyusunan dan pengumpulan data statistik daerah</t>
  </si>
  <si>
    <t>Terwujudnya penyusunan dan pengumpulan data statistik daerah</t>
  </si>
  <si>
    <t>Pengadaan pakaian dinas beserta perlengkapannya</t>
  </si>
  <si>
    <t>Pengadaan pakaian kerja Satpol PP</t>
  </si>
  <si>
    <t>stel</t>
  </si>
  <si>
    <t>Program peningkatan kapasitas sumber daya aparatur</t>
  </si>
  <si>
    <t>Pendidikan dan pelatihan formal</t>
  </si>
  <si>
    <t>Meningkatnya keterampilan anggota Satpol PP dalam bernegosiasi dalam penanganan pelanggaran Perda/Perbup, pengiriman peserta HUT Satpol PP 30 orang dan pengiriman peserta Jambore Satpol PP 20 orang</t>
  </si>
  <si>
    <t xml:space="preserve">Peningkatan Ketrampilan fisik (Kesamaptaan) </t>
  </si>
  <si>
    <t>Meningkatnya keterampilan fisik (kesamaptaan) anggota Satpol PP  dalam melaksanakan tugas</t>
  </si>
  <si>
    <t>SATPOL PP</t>
  </si>
  <si>
    <t>MISI</t>
  </si>
  <si>
    <t xml:space="preserve">Program Peningkatan pelayanan administrtasi kantor </t>
  </si>
  <si>
    <t>Meningkatkan kebutuhan Sarana Pelayanan Admisnistrasi Perkantoran</t>
  </si>
  <si>
    <t>INSPEKTORAT</t>
  </si>
  <si>
    <t>Penyediaan Jasa Surat Mennurat</t>
  </si>
  <si>
    <t>Tersedianya materi,benda pos dan Paket surat</t>
  </si>
  <si>
    <t>Penyediaan Jasa Komunikasi, SDA dan Listrik</t>
  </si>
  <si>
    <t>Tersedianya Jasa Komunikasi, SDA dan Listrik</t>
  </si>
  <si>
    <t>Penyediaan Jasa Pemeliharaan dan Perizinan Kendaraan Operasional/Dinas</t>
  </si>
  <si>
    <t>Terpenuhinya kebutuhan Jasa Pemeliharaan dan Perizinan Kendaraan Operasional/Dinas</t>
  </si>
  <si>
    <t>Penyediaan Jasa Administrasi Keuangan</t>
  </si>
  <si>
    <t>Tersedianya honorarium penatausahaan keuangan</t>
  </si>
  <si>
    <t>Kegiatan Penyediaan Jasa Kebersihan Kantor</t>
  </si>
  <si>
    <t>Tersedianya bahan dan alat kebersihan kantor</t>
  </si>
  <si>
    <t>Penyediaan Jasa Perbaikan Peralatan Kerja</t>
  </si>
  <si>
    <t>Tersedianya jasa peralatan kerja yang baik</t>
  </si>
  <si>
    <t>Penyediaan Alat Tulis Kantor</t>
  </si>
  <si>
    <t>Penyediaan Barang Cetakan dan penggandaan</t>
  </si>
  <si>
    <t>Tercukupinya kebutuhan barang cetakan</t>
  </si>
  <si>
    <t>Penyediaan Komponen Instalasi Listrik/Penerangan Bangunan Kantor</t>
  </si>
  <si>
    <t>Tersedianya alat listrik dan penerangan bangunan kantor</t>
  </si>
  <si>
    <t>Penyediaan Bahan Bacaan dan Peraturan Perundang-Undangan</t>
  </si>
  <si>
    <t>Tersedianya bahan bacaan kantor dan buku peraturan perundangan</t>
  </si>
  <si>
    <t>Penyediaan Makanan dan Minuman</t>
  </si>
  <si>
    <t>Tersedianya makanan dan minuman untuk tamu dan rapat</t>
  </si>
  <si>
    <t>Rapat-rapat Koordinasi dan Konsultasi Luar Daerah</t>
  </si>
  <si>
    <t>Terlaksananya koordinasi dan konsultasi ke luar daerah</t>
  </si>
  <si>
    <t>Rapat-rapat Koordinasi dan Konsultasi Dalam Daerah</t>
  </si>
  <si>
    <t>Terlaksananya koordinasi dan konsultasi dalam daerah</t>
  </si>
  <si>
    <t>Bertambahnya sarana prasarana aparatur</t>
  </si>
  <si>
    <t>Pengadaan Kendaraan Dinas/ operasional</t>
  </si>
  <si>
    <t>Pengadaan kendaraan dinas roda 4</t>
  </si>
  <si>
    <t>Pengadaan kendaraan dinas roda 2</t>
  </si>
  <si>
    <t>Rehabilitasi/pembangunan gedung kantor</t>
  </si>
  <si>
    <t>Teehabilitasinya gedung kantor Inspektorat</t>
  </si>
  <si>
    <t>Pengadaan Peralatan gedung Kantor</t>
  </si>
  <si>
    <t>Tersedianya notebook/laptop,printer,LCD,AC</t>
  </si>
  <si>
    <t>Pengadaan Mebeleur</t>
  </si>
  <si>
    <t>Tersedianya kursi rapat, kursi tamu , almari buku,Almari kaca, almari besi,filing kabinet, kursi kerja  dan meja kerja</t>
  </si>
  <si>
    <t>Pengadaan Sarana dan prasarana kantor</t>
  </si>
  <si>
    <t>Tercukupinya sarana dan prasarana kantor</t>
  </si>
  <si>
    <t>Pemeliharaan Rutin/Berkala Gedung Kantor</t>
  </si>
  <si>
    <t>Tersedianya dan terpeliharanya gedung kantor</t>
  </si>
  <si>
    <t>Pemeliharaan Rutin/Berkala mebelair</t>
  </si>
  <si>
    <t>Terwujudnya pemeliharaan rutin/berkala mebelair</t>
  </si>
  <si>
    <t>Penyusunan dan Pengumpulan data/informasi kebutuhan penyusunan dokumen perencanaan</t>
  </si>
  <si>
    <t>Tersusunnya dokumen perencanaan,  LAKIP, Renja, Renstra, LKPJ, LPPD dan RKA/DPA</t>
  </si>
  <si>
    <t>Program Pengembangan data/informasi,Statistik Daerah</t>
  </si>
  <si>
    <t>tersedianya dokumen database inspektorat</t>
  </si>
  <si>
    <t>Tersusunnya buku data base Inspektorat</t>
  </si>
  <si>
    <t>Program Peningkatan Profesionalisme Tenaga Pemeriksa dan Aparatur Pengawasan</t>
  </si>
  <si>
    <t>Jumlah Aparat yang mengikuti Pendidikan dan pelatihan</t>
  </si>
  <si>
    <t>Pelatihan Pengembangan tenaga pemeriksa dan aparatur pengawasan</t>
  </si>
  <si>
    <t>Terlaksananya pelatihan pengembangan tenaga pemeriksa dan aparatur pengawasan</t>
  </si>
  <si>
    <t xml:space="preserve">Pelatihan teknis pengawasan dan penilaian akuntabilitas kinerja </t>
  </si>
  <si>
    <t>Terlaksananya pelatihan tehnis pengawasan dan penilaian akuntabilitas kinerja</t>
  </si>
  <si>
    <t>Persentase LAKIP yang nilainya meningkat</t>
  </si>
  <si>
    <t>Program Peningkatan Sistem Pengawasan Internal dan Pengendalian Pelaksanaan Kebijakan KDH</t>
  </si>
  <si>
    <t>Pelaksanaan pengawasan internal secara berkala</t>
  </si>
  <si>
    <t>Terlaksananya pengawasan internal secara berkala sesuai PKPT( 400 obrik )</t>
  </si>
  <si>
    <t>obrik</t>
  </si>
  <si>
    <t>Penanganan Kasus Pengaduan  di Lingkungan  Pemerintah Daerah</t>
  </si>
  <si>
    <t xml:space="preserve">Terselesaikannya penanganan kasus pengaduan di lingkungan  d Pemerintah daerah dengan pemeriksaan pendahuluan  atau klarifikasi </t>
  </si>
  <si>
    <t>Pengendalian Manajemen Pelaksanaan Kebijakan KDH</t>
  </si>
  <si>
    <t>Terlaksananya Pengendalian Manajemen Pelaksanaan Kebijakan KDH</t>
  </si>
  <si>
    <t>unit kerja</t>
  </si>
  <si>
    <t>Penanganan Kasus pada pemerintahan dibawahnya</t>
  </si>
  <si>
    <t>Terselesaikannya penanganan kasus  pada lingkungan pemerintahan dibawahnya</t>
  </si>
  <si>
    <t>Tindak lanjut hasil temuan pengawasan</t>
  </si>
  <si>
    <t>Terselesaikannya tindak lanjut hasil temuan pengawasan</t>
  </si>
  <si>
    <t>Koordinasi Pengawasan yang lebih komprehensip</t>
  </si>
  <si>
    <t>Terlaksananya koordinasi pengawasan yang lebih komprehensip baik regional dan nasional</t>
  </si>
  <si>
    <t>Evaluasi berkala hasil pengawasan</t>
  </si>
  <si>
    <t>Terselenggaranya gelar pengawasan daerah</t>
  </si>
  <si>
    <t>Evvaluasi LAKIP Bupati</t>
  </si>
  <si>
    <t>Terlaksananya Evaluasi LAKIP SKPD dan Reviu LKjIP Bupati</t>
  </si>
  <si>
    <t>Implementasi SPIP</t>
  </si>
  <si>
    <t>Terlaksananya Implementasi SPIP</t>
  </si>
  <si>
    <t>Review Laporan Keuangan</t>
  </si>
  <si>
    <t>Terlaksananya Review Laporan Keuangan</t>
  </si>
  <si>
    <t>Sosialisasi PMPRB</t>
  </si>
  <si>
    <t>Terlaksananya Sosialisasi PMPRB</t>
  </si>
  <si>
    <t>INDIKATOR TUJUAN</t>
  </si>
  <si>
    <t>SASARAN</t>
  </si>
  <si>
    <t>Program Pelayanan Adiministrasi Perkantoran</t>
  </si>
  <si>
    <t>Tersedianya jasa komunikasi, sumber daya air dan listrik (bulan)</t>
  </si>
  <si>
    <t>Tersedianya alat tulis kantor (bulan)</t>
  </si>
  <si>
    <t>Tersedianya bahan bacaan dan perundangan-undangan (bulan)</t>
  </si>
  <si>
    <t>Tersedianya makanan dan minuman (bulan)</t>
  </si>
  <si>
    <t>Terlaksananya rapat-rapat koordinasi dan konsultasi dalam daerah (bulan)</t>
  </si>
  <si>
    <t>Tersedianya mebeleur kantor (unit)</t>
  </si>
  <si>
    <t>2</t>
  </si>
  <si>
    <t>1</t>
  </si>
  <si>
    <t>Capaian Pelayanan Kinerja SKPD</t>
  </si>
  <si>
    <t xml:space="preserve">Pelayanan Administrasi Perkantoran </t>
  </si>
  <si>
    <t>Penyedia jasa surat menyurat</t>
  </si>
  <si>
    <t xml:space="preserve">Terkelolanya surat menyurat </t>
  </si>
  <si>
    <t>Penyedia jasa komunikasi, sumberdaya air dan lain-lain</t>
  </si>
  <si>
    <t>Terbayarnya rekening telekomunikasi, air dan listrik (bulan)</t>
  </si>
  <si>
    <t>Penyedia pemeliharaan dan perijinan kendaraan dinas/operasional</t>
  </si>
  <si>
    <t>Terawatnya kendaraan dinas/operasional (unit mobil dan motor)</t>
  </si>
  <si>
    <t>Terbayarnya jasa pengelola kegiatan (orang bulan)</t>
  </si>
  <si>
    <t>Tersedianya alat dan bahan kebersihan kantor (bulan)</t>
  </si>
  <si>
    <t>Penyediaan jasa perbaikan peralatan jasa</t>
  </si>
  <si>
    <t xml:space="preserve">Perbaikan peralatan kerja </t>
  </si>
  <si>
    <t>Penyediaan barang cetakan dan penggadaan</t>
  </si>
  <si>
    <t>Tersedianya kebutuhan penggandaan, cetak, jilid (bulan)</t>
  </si>
  <si>
    <t>Penyediaan komponen instalasi listrik</t>
  </si>
  <si>
    <t>Tersedianya komponen instalasi listrik/penerangan bangunan kantor (bulan)</t>
  </si>
  <si>
    <t>Tersedianya bahan bacaan  dan peraturan perundang-undangan  (bulan)</t>
  </si>
  <si>
    <t>Penyediaan makan dan minum</t>
  </si>
  <si>
    <t>Tersedianya jamuan rapat dan jamuan tamu (bulan)</t>
  </si>
  <si>
    <t>Rapat-rapat dan konsultasi luar  daerah</t>
  </si>
  <si>
    <t>Terlaksananya akomodasi dan perjalanan dinas luar daerah (bulan)</t>
  </si>
  <si>
    <t>Penunjang administrasiperkantoran</t>
  </si>
  <si>
    <t>Terlaksananya akomodasi dan perjalanan dinas ke dalam daerah (bulan)</t>
  </si>
  <si>
    <t>Set</t>
  </si>
  <si>
    <t>Tersedianya pakaian dinas dan kelengkapan Anggota DPRD</t>
  </si>
  <si>
    <t>Program Peningkatan Kapasitas Sumber Daya Aparatur</t>
  </si>
  <si>
    <t>Org</t>
  </si>
  <si>
    <t>Bimbingan teknis implementasi peraturan perundang-undangan</t>
  </si>
  <si>
    <t>Terlaksananya Bimbingan teknis implementasi peraturan perundang-undangan</t>
  </si>
  <si>
    <t>Penyusunan laporan capaian kinerja dan ikhtisar realisasi kinerja SKPD</t>
  </si>
  <si>
    <t>Peningkatan sarana dan prasarana aparatur</t>
  </si>
  <si>
    <t>Bertambahnya Sarana Prasarana aparatur yang memadai</t>
  </si>
  <si>
    <t>Komputer PC, LCD dan screen, printer dot matrixt, standing AC, AC split, Rak Buku/Arsip, Almari Kaca Gantung, Almari Kaca Souvenir  printer laserjet, mesin ketik listrik, printer warna tinta, TV, laptop, faksimili,  finger print, LNB dan kabel parabola, reciver, almari arsip.</t>
  </si>
  <si>
    <t>Pemeliharaan rutin/berkala rumah dinas</t>
  </si>
  <si>
    <t>Pemiliharaan rutin/berkala gedung kantor</t>
  </si>
  <si>
    <t>Pemeliharaan rutin/meubeler</t>
  </si>
  <si>
    <t>Tersedianya dokumen data perencanaan dan Evaluasi Pembangunan</t>
  </si>
  <si>
    <t xml:space="preserve">Penyusunan dan pengumpulan data atau informasi kebutuhan penyusunan dokumen perencanaan </t>
  </si>
  <si>
    <t>Pengembangan data/informasi/statistik daerah</t>
  </si>
  <si>
    <t>Capaian peningkatan kapasitas lembaga perwakilan rakyat daerah</t>
  </si>
  <si>
    <t>Program Peningkatan kapasitas lembaga perwakilan rakyat daerah</t>
  </si>
  <si>
    <t>Hearing/dialog dan koordinasi dengan pejabat pemerintah daerah dan tokoh masyarakat /tokoh agama</t>
  </si>
  <si>
    <t>terlaksananya kordinasi antara DPRD dengan Stakeholder dan Masy</t>
  </si>
  <si>
    <t>Kegiatan reses</t>
  </si>
  <si>
    <t>terlaksananya reses masa sidang DPRD</t>
  </si>
  <si>
    <t>Peningkatan kapasitas  pimpinan dan anggota DPRD</t>
  </si>
  <si>
    <t>Terlaksananya kunjungan kerja dan studi komparasi anggota DPRD</t>
  </si>
  <si>
    <t>Rapat-rapat paripurna</t>
  </si>
  <si>
    <t>Terlaksananya Rapat Paripurna dan Rapat istimewa</t>
  </si>
  <si>
    <t xml:space="preserve">Prosenatase Terpublikasikannya kegiatan DPRD                                                    </t>
  </si>
  <si>
    <t>Program Kerjasama informasi dengan mass media</t>
  </si>
  <si>
    <t>Penyebarluasan informasi penyelenggaraan pemerintah daerah</t>
  </si>
  <si>
    <t xml:space="preserve">Terpublikasikannya kegiatan DPRD, Setwan dalam layanan : 400 rilis, advetorial iklan 20 kl, website 4 org, liputan ratih tv dan radio in fm 15 kl, jumpa pers 12 kl, rapat informasi 12 kl                                                                                                                                                  </t>
  </si>
  <si>
    <t>media</t>
  </si>
  <si>
    <t>Terfasilitasinya layanan informasi arsip DPRD</t>
  </si>
  <si>
    <t>Program Peningkatan kualitas pelayanan informasi</t>
  </si>
  <si>
    <t>400 booklet, majalah 780 eks, 400 baflet, tenaga ahli program, katalog 1000 buah, arsip  60, lebeling 1000 buku</t>
  </si>
  <si>
    <t>Banyaknya Perda yang ditetapkan</t>
  </si>
  <si>
    <t>Program Penataan peraturan perundang undangan</t>
  </si>
  <si>
    <t>Buah</t>
  </si>
  <si>
    <t>Pembahasaan rancangan peraturan daerah</t>
  </si>
  <si>
    <t>Terlaksananya Pembahasaan rancangan peraturan daerah</t>
  </si>
  <si>
    <t>Penyusunan rencana kerja rancangan peraturan perundang-undangan</t>
  </si>
  <si>
    <t>Tersusunnya Rancangan Peraturan Daerah</t>
  </si>
  <si>
    <t>Fasilitas sosialisasri peraturan perundang-undangan</t>
  </si>
  <si>
    <t>Penyelenggaraan Bintek dan Workshop tentang Perda</t>
  </si>
  <si>
    <t>LOKASI</t>
  </si>
  <si>
    <t>3</t>
  </si>
  <si>
    <t>4</t>
  </si>
  <si>
    <t xml:space="preserve">bertambahnya jumlah sarana dan prasarana kantor yang memadai </t>
  </si>
  <si>
    <t xml:space="preserve">Pengadaan paket kendaraan dinas/operasional </t>
  </si>
  <si>
    <t>Pengadaan paket perlengkapan kantor berupa:</t>
  </si>
  <si>
    <t>gorden (m)</t>
  </si>
  <si>
    <t>meter</t>
  </si>
  <si>
    <t>AC (unit)</t>
  </si>
  <si>
    <t>wallpaper (ruang)</t>
  </si>
  <si>
    <t>ruang</t>
  </si>
  <si>
    <t>karpet (unit)</t>
  </si>
  <si>
    <t>jaringan listrik (paket)</t>
  </si>
  <si>
    <t xml:space="preserve">Pengadaan paket peralatan gedung kantor berupa : </t>
  </si>
  <si>
    <t xml:space="preserve">Laptop </t>
  </si>
  <si>
    <t xml:space="preserve">Komputer </t>
  </si>
  <si>
    <t xml:space="preserve">Printer </t>
  </si>
  <si>
    <t xml:space="preserve">Server </t>
  </si>
  <si>
    <t xml:space="preserve">Hardisk Server </t>
  </si>
  <si>
    <t xml:space="preserve">UPS </t>
  </si>
  <si>
    <t xml:space="preserve">Jaringan Sistem Gaji </t>
  </si>
  <si>
    <t xml:space="preserve">Pengadaan  paket peralatan mebeleur berupa : </t>
  </si>
  <si>
    <t xml:space="preserve">meja kerja </t>
  </si>
  <si>
    <t xml:space="preserve">kursi kerja </t>
  </si>
  <si>
    <t xml:space="preserve">kursi tunggu </t>
  </si>
  <si>
    <t>almari arsip/filling cabinet</t>
  </si>
  <si>
    <t xml:space="preserve">rak arsip </t>
  </si>
  <si>
    <t xml:space="preserve">brankas </t>
  </si>
  <si>
    <t xml:space="preserve">loker </t>
  </si>
  <si>
    <t xml:space="preserve">Terpeliharanya gedung kantor </t>
  </si>
  <si>
    <t>Terpeliharanya meubeleur (unit)</t>
  </si>
  <si>
    <t>Tersusunnya Renja, , RKA, DPA, LKPJ/LPPD, Lakip</t>
  </si>
  <si>
    <t>Tersusunnya data base pendapatan, pengelolaan keuangan daerah dan aset daerah</t>
  </si>
  <si>
    <t>Pengiriman aparatur untuk Bintek, workshoop dan seminar terkait pengelolaan keuangan daerah</t>
  </si>
  <si>
    <t>Capaian Realisasi Pendapatan</t>
  </si>
  <si>
    <t>Program peningkatan dan pengembangan pengelolaan keuangan daerah</t>
  </si>
  <si>
    <t>Capaian SKPD Tertib Administrasi AsetTepat Waktu</t>
  </si>
  <si>
    <t>Pengelolaan dan Pengendalian Administrasi Keuangan Daerah</t>
  </si>
  <si>
    <t xml:space="preserve">Tersedianya data penatausahaan keuangan daerah </t>
  </si>
  <si>
    <t xml:space="preserve">Pembinaan bendahara SKPD </t>
  </si>
  <si>
    <t>Pengelolaan Gaji PNSD</t>
  </si>
  <si>
    <t xml:space="preserve">Pengelolaan gaji PNSD dan rekonsiliasi jumlah pegawai  </t>
  </si>
  <si>
    <t>Lancarnya pengelola belanja hibah , bagi hasil, bantuan keuangan dan bantuan sosial</t>
  </si>
  <si>
    <t>tahun</t>
  </si>
  <si>
    <t>Penyusunan rancangan peraturan daerah tentang APBD</t>
  </si>
  <si>
    <t xml:space="preserve">Tersedianya rancangan perda APBD dan perbub APBD </t>
  </si>
  <si>
    <t>Penyusunan rancangan peraturan daerah tentang perubahan APBD</t>
  </si>
  <si>
    <t xml:space="preserve">Tersedianya rancangan perda PAPBD dan perbup PAPBD </t>
  </si>
  <si>
    <t>Penyusunan KUAPBD dan PPAS</t>
  </si>
  <si>
    <t xml:space="preserve">Tersusunnya KUAPBD dan PPAS murni dan perubahan </t>
  </si>
  <si>
    <t>Penyusunan standar satuan harga</t>
  </si>
  <si>
    <t xml:space="preserve">Tersusunnya peraturan bupati tentang indeks standarisasi harga </t>
  </si>
  <si>
    <t>Penyusunan rancangan peraturan daerah tentang pertanggungjawaban pelaksanaan APBD</t>
  </si>
  <si>
    <t xml:space="preserve">Tersusunya raperda tentang APBD </t>
  </si>
  <si>
    <t>Implementasi Sistem Informasi Pengelolaan Keuangan Daerah</t>
  </si>
  <si>
    <t xml:space="preserve">Rekonsiliasi administrasi keuangan dengan SKPD/petugas akuntansi </t>
  </si>
  <si>
    <t>Intensifikasi dan ekstensifikasi pajak daerah</t>
  </si>
  <si>
    <t xml:space="preserve">Intensifikasi dan ekstensifikasi Pajak daerah </t>
  </si>
  <si>
    <t>Jenis Pajak</t>
  </si>
  <si>
    <t>Intensifikasi dan ekstensifikasi PBB dan BPHTB</t>
  </si>
  <si>
    <t>Pemberian Reward bagi desa lunas sebelum jatuh tempo</t>
  </si>
  <si>
    <t xml:space="preserve">Honor pengelola PBB dan BPHTB </t>
  </si>
  <si>
    <t>Pendataan obyek dan subyek PBB pola sismiop</t>
  </si>
  <si>
    <t xml:space="preserve">Tersedianya data obyek, subyek dan wajib pajak </t>
  </si>
  <si>
    <t>obyek pajak</t>
  </si>
  <si>
    <t>Pemutakhiran dan pemeliharaan basis data obyek Pajak Bumi dan Bangunan</t>
  </si>
  <si>
    <t xml:space="preserve">Terlaksanya rekonsiliasi pembayaran PBB dan up to date  basis data PBB </t>
  </si>
  <si>
    <t>Penagihan, monitoring, evaluasi dan pelaporan PBB dan BPHTB</t>
  </si>
  <si>
    <t>Intensifikasi dan ekstensifikasi pendapatan lain-lain daerah</t>
  </si>
  <si>
    <t xml:space="preserve">Intensifikasi dan ekstensifikasi pendapatan lain-lain daerah </t>
  </si>
  <si>
    <t xml:space="preserve">obyek </t>
  </si>
  <si>
    <t>Monitoring, evaluasi dan pelaporan pendapatan lain-lain daerah</t>
  </si>
  <si>
    <t xml:space="preserve">Laporan pendapatan lain-lain daerah </t>
  </si>
  <si>
    <t>laporan</t>
  </si>
  <si>
    <t>Peningkatan manajemen aset/barang daerah</t>
  </si>
  <si>
    <t xml:space="preserve">Tersedianya pengolahan data barang milik daerah dan penilaian aset </t>
  </si>
  <si>
    <t>Pengamanan Aset/Barang Milik Daerah</t>
  </si>
  <si>
    <t>Fasilitasi pengaman aset berupa :</t>
  </si>
  <si>
    <t xml:space="preserve">Pengadaan papan nama aset daerah </t>
  </si>
  <si>
    <t xml:space="preserve"> Terbayarnya asuransi kendaraan dinas roda 4  </t>
  </si>
  <si>
    <t xml:space="preserve">terselesaikanya TPTGR </t>
  </si>
  <si>
    <t>Program pembinaan dan fasilitasi pengelolaan keuangan kabupaten/kota</t>
  </si>
  <si>
    <t xml:space="preserve">Jumlah SKPD yang mengirim SPJ fungsional tepat waktu </t>
  </si>
  <si>
    <t>Fasilitasi Pengelolaan Pendapatan Daerah</t>
  </si>
  <si>
    <t xml:space="preserve">Fasilitasi Pengelolaan Pendapatan Daerah </t>
  </si>
  <si>
    <t>jenis PAD</t>
  </si>
  <si>
    <t>Pembinaan dan fasilitasi pengelolaan keuangan daerah</t>
  </si>
  <si>
    <t xml:space="preserve">Pengesahan SPJ fungsional SKPD </t>
  </si>
  <si>
    <t>Unit kerja</t>
  </si>
  <si>
    <t>Asistensi Penyusunan regulasi  pengelolaan keuangan/aset daerah</t>
  </si>
  <si>
    <t xml:space="preserve">tersusunnya regulasi pengelolaan keuangan/aset daerah </t>
  </si>
  <si>
    <t>Perbup</t>
  </si>
  <si>
    <t>Penunjang Bantuan keuangan/bantuan sosial</t>
  </si>
  <si>
    <t>Terlaksananya pencairan bantuan keuangan/bantuan sosial ,hibah,pembiayaan</t>
  </si>
  <si>
    <t>SPM</t>
  </si>
  <si>
    <t xml:space="preserve">Tersedianya data rekonsiliasi pelaporan keuangan daerah </t>
  </si>
  <si>
    <t>Program peningkatan sistem pengawasan internal dan pengendalian pelaksanaan kebijakan KDH</t>
  </si>
  <si>
    <t>Rekonsiliasi Kas Daerah</t>
  </si>
  <si>
    <t xml:space="preserve">Rekonsiliasi pelaporan </t>
  </si>
  <si>
    <t>TUJUAN</t>
  </si>
  <si>
    <t>Terwujudnya pengelolaan sumberdaya air, sumberdaya lahan, sumberdaya hutan, sumberdaya pesisir berdasarkan azas konservasi, efisien dan lestari</t>
  </si>
  <si>
    <t>Indeks Kualitas Lingkungan</t>
  </si>
  <si>
    <t>Meningkatnya perlindungan dan konservasi sumberdaya alam</t>
  </si>
  <si>
    <t>Persentase kesesuaian pemanfaatan ruang</t>
  </si>
  <si>
    <t>Program Perencanaan Tata Ruang</t>
  </si>
  <si>
    <t>Tersedianya dokumen Perencanaan Tata Ruang</t>
  </si>
  <si>
    <t xml:space="preserve">Penyusunan rencana detail tata ruang kawasan </t>
  </si>
  <si>
    <t>Tersusunnya Rencana Detail Tata Ruang (Dokumen)</t>
  </si>
  <si>
    <t xml:space="preserve">Revisi rencana tata ruang </t>
  </si>
  <si>
    <t>Banyaknya Fasilitasi Pelayanan dan Rehabilitasi Kesejahteraan Sosial</t>
  </si>
  <si>
    <t>Program Pelayanan dan Rehabilitasi Kesejahteraan Sosial</t>
  </si>
  <si>
    <t xml:space="preserve">Koordinasi perumusan kebijakan dan sinkronisasi pelaksanaan upaya - upaya penanggulangan kemiskinan dan penurunan kesenjangan </t>
  </si>
  <si>
    <t xml:space="preserve">Terkoordinasikannya perumusan kebijakan dan sinkronisasi pelaksanaan upaya-upaya penanggulangan kemiskinan </t>
  </si>
  <si>
    <t>Capaian Kinerja Pelayanan SKPD</t>
  </si>
  <si>
    <t>Tersedianya jasa pelayanan administrasi perkantoran</t>
  </si>
  <si>
    <t>Penyediaan surat menyurat</t>
  </si>
  <si>
    <t>Tersedianya jasa surat menyurat (dokumen)</t>
  </si>
  <si>
    <t xml:space="preserve">Penyediaan jasa pemeliharaan dan perizinan kendaraan dinas / operasional </t>
  </si>
  <si>
    <t>Tersedianya jasa pemeliharaan dan perizinan kendaraan dinas/operasional (unit)</t>
  </si>
  <si>
    <t xml:space="preserve">Penyediaan jasa administrasi perkantoran </t>
  </si>
  <si>
    <t>Tersedianya jasa administrasi perkantoran (orang)</t>
  </si>
  <si>
    <t xml:space="preserve">Penyediaaan jasakebersihan kantor </t>
  </si>
  <si>
    <t>Tersedianya jasa kebersihan kantor  (paket)</t>
  </si>
  <si>
    <t xml:space="preserve">Peyediaan jasa peralatan kerja </t>
  </si>
  <si>
    <t>Tersedianya jasa peralatan kerja (paket)</t>
  </si>
  <si>
    <t xml:space="preserve">Penyediaan alat tulis kantor </t>
  </si>
  <si>
    <t>Tersedianya alat tulis kantor (Paket)</t>
  </si>
  <si>
    <t xml:space="preserve">Penyediaan barang cetakan dan penggandaan </t>
  </si>
  <si>
    <t>Tersedianya barang cetakan dan penggandaan (paket)</t>
  </si>
  <si>
    <t>Penyediaan komponen instalasi listrik / penerangan bangunan kantor</t>
  </si>
  <si>
    <t>Tersedianya komponen instalasi listrik/penerangan banguunan kantor (paket)</t>
  </si>
  <si>
    <t xml:space="preserve">Penyediaan bahan bacaan dan peraturan perundang - undangan </t>
  </si>
  <si>
    <t xml:space="preserve">Penyediaaan makanan dan minuman </t>
  </si>
  <si>
    <t xml:space="preserve">Rapat - rapat koordinasi dan konsultasi ke luar daerah </t>
  </si>
  <si>
    <t>Terlaksananya rapat-rapat koordinasi dan konsultasi ke luar daerah ( bulan )</t>
  </si>
  <si>
    <t xml:space="preserve">Rapat - rapat koordinasi dan konsultasi ke dalam  daerah </t>
  </si>
  <si>
    <t>Bertambahnya Sarana dan Prasarana Aparatur</t>
  </si>
  <si>
    <t xml:space="preserve">Pengadaan kendaraan dinas / operasional </t>
  </si>
  <si>
    <t>Pengadaan kendaraan dinas operasional (roda 4)</t>
  </si>
  <si>
    <t xml:space="preserve">Pengadaan meubeler </t>
  </si>
  <si>
    <t xml:space="preserve">Pengadaan saranan prasarana kantor </t>
  </si>
  <si>
    <t>Tersedianya sarana prasarana kantor (paket)</t>
  </si>
  <si>
    <t>Terpeliharanya gedung kantor (unit)</t>
  </si>
  <si>
    <t>Rehabilitasi sedang / berat gedung kantor</t>
  </si>
  <si>
    <t>Terehabilitasinya gedung kantor</t>
  </si>
  <si>
    <t>Program Pengembangan Data/ Informasi</t>
  </si>
  <si>
    <t xml:space="preserve">Penyusunan dan pengumpulan data / informasi kebutuhan penyusunan dokumen perencanaan </t>
  </si>
  <si>
    <t xml:space="preserve">Tersusunnya dokumen rencana kerja SKPD , Renstra 2016 - 2021, LAKIP, LPPD </t>
  </si>
  <si>
    <t xml:space="preserve">Penyusunan profil daerah </t>
  </si>
  <si>
    <t>Tersusunnya Profil Daerah (dokumen)</t>
  </si>
  <si>
    <t xml:space="preserve">Program Pengembangan Data / Informasi/Statistik Daerah </t>
  </si>
  <si>
    <t xml:space="preserve">Penyusunan dan pengumpulan data dan statistik daerah </t>
  </si>
  <si>
    <t xml:space="preserve">Tersusunnya dokumen data statistik daerah </t>
  </si>
  <si>
    <t xml:space="preserve">Koordinasi pengendalian data statistik daerah </t>
  </si>
  <si>
    <t xml:space="preserve">Tersusunnya dokumen data capaian pembangunan daerah </t>
  </si>
  <si>
    <t>Tersedianya dokumen operasional
kebijakan perencanaan pembangunan daerah</t>
  </si>
  <si>
    <t>Program Perencanaan
Pembangunan Daerah</t>
  </si>
  <si>
    <t xml:space="preserve">Penyelenggaraan Musrenbang RKPD </t>
  </si>
  <si>
    <t>Terselenggaranya Musrenbang RKPD Kabupaten</t>
  </si>
  <si>
    <t>Fasilitasi Musrenbang Kecamatan</t>
  </si>
  <si>
    <t>Fasilitasi Musrenbang Desa/Kelurahan</t>
  </si>
  <si>
    <t xml:space="preserve">Penetapan RKPD </t>
  </si>
  <si>
    <t>Tersusunnya RKPD Kabupaten Kebumen (Dokumen)</t>
  </si>
  <si>
    <t>Tersusunnya Perubahan RKPD Kabupaten Kebumen (Dokumen)</t>
  </si>
  <si>
    <t xml:space="preserve">Penetapan RPJMD </t>
  </si>
  <si>
    <t>Tersusunnya RPJMD Kabupaten Kebumen (Dokumen)</t>
  </si>
  <si>
    <t>Tersusunnya Perubahan RPJMD Kabupaten Kebumen (Dokumen)</t>
  </si>
  <si>
    <t xml:space="preserve">Pengembangan partisipasi masyarakat dalam perumusan program dan kebijakan layanan publik </t>
  </si>
  <si>
    <t>Tersusunnya Riset Unggulan Daerah Kabupaten Kebumen (Dokumen)</t>
  </si>
  <si>
    <t xml:space="preserve">Monitoring , evaluasi dan pelaporan </t>
  </si>
  <si>
    <t>Tersusunnya buku monitoring, evaluasi, pengendalian, dan pelaporan pelaksanaan rencana pembangunan daerah (dokumen)</t>
  </si>
  <si>
    <t>Evaluasi pencapaian RPJMD 2016 - 2021</t>
  </si>
  <si>
    <t>Tersusunnya Evaluasi Pencapaian RPJMD 2016-2021 (dokumen)</t>
  </si>
  <si>
    <t xml:space="preserve">Penyelenggaraan kegiatan kraesi dan inovasi </t>
  </si>
  <si>
    <t>Terlaksananya penyelenggaraan kegiatan kreatifitas dan inovasi masyarakt ( paket )</t>
  </si>
  <si>
    <t>Terfasilitasinya Peningkatan
Kapasitas Kelembagaan
Perencanaan Pembangunan Daerah</t>
  </si>
  <si>
    <t>Program Peningkatan
Kapasitas Kelembagaan
Perencanaan Pembangunan Daerah</t>
  </si>
  <si>
    <t>keg</t>
  </si>
  <si>
    <t xml:space="preserve">Peningkatan kemampuan teknis aparat perencana </t>
  </si>
  <si>
    <t xml:space="preserve">Pengiriman peserta bintek dan penyelenggaraan bintek peningkatan
kemampuan teknis aparat perencana </t>
  </si>
  <si>
    <t xml:space="preserve">Koordinasi peningkatan kapasitas kelembagaan perencanaan pembangunan daerah </t>
  </si>
  <si>
    <t xml:space="preserve">Penyusunan kajian penunjang perencanaan pembangunan daerah </t>
  </si>
  <si>
    <t>Tersedianya dokumen
perencanaan pengembangan wilayah strategis dan cepat tumbuh (Paket)</t>
  </si>
  <si>
    <t>Program Perencanaan
Pengembangan Wilayah
Strategis dan Cepat Tumbuh</t>
  </si>
  <si>
    <t xml:space="preserve">Penyusunan perencanaan pengembangan wilayah strategis dan cepat tumbuh </t>
  </si>
  <si>
    <t>Tersusunnya dokumen
perencanaan pengembangan wilayah strategis dan cepat tumbuh (Paket)</t>
  </si>
  <si>
    <t xml:space="preserve">Penunjang Badan Koordinasi Tata Ruang Daerah ( BKTRD ) Kabupaten Kebumen </t>
  </si>
  <si>
    <t xml:space="preserve">Koordinasi perencanaan pemanfaatan dan pengendalian tata ruang </t>
  </si>
  <si>
    <t xml:space="preserve">Tersedianya dokumen kajian kawasan industri Kabupaten Kebumen </t>
  </si>
  <si>
    <t xml:space="preserve">Program perencanaan pengembangan kota - kota menengah dan besar </t>
  </si>
  <si>
    <t>Koordinasi perencanaan penanganan pusat - pusat industri</t>
  </si>
  <si>
    <t xml:space="preserve">Tersusunnya dokumen kajian kawasan industri Kabupaten Kebumen </t>
  </si>
  <si>
    <t>Tersedianya dokumen Perencanaan
Pembangunan Ekonomi</t>
  </si>
  <si>
    <t>Program Perencanaan
Pembangunan Ekonomi</t>
  </si>
  <si>
    <t xml:space="preserve">Penyusunan indikator ekonomi daerah </t>
  </si>
  <si>
    <t>Tersusunnya indikator ekonomi daerah ( dokumen )</t>
  </si>
  <si>
    <t xml:space="preserve">Penyusunan perencanaan pengembangan ekonomi masyarakat </t>
  </si>
  <si>
    <t>Tersusunnya dokumen studi potensi ekonomi kreatif ( dokumen )</t>
  </si>
  <si>
    <t xml:space="preserve">Fasilitasi pameran inovasi </t>
  </si>
  <si>
    <t xml:space="preserve">Terfasilitasinya pameran inovasi </t>
  </si>
  <si>
    <t>Program Kerjasama Pembangunan</t>
  </si>
  <si>
    <t>Terfasilitasinya kluster ekonomi daerah</t>
  </si>
  <si>
    <t>kluster</t>
  </si>
  <si>
    <t>Penyelenggaraan Forum for Economic Development and Employment Promotion ( FEDEP )</t>
  </si>
  <si>
    <t>Fasilitasi kegiatan pada kluster ekonomi daerah</t>
  </si>
  <si>
    <t>Tersedianya dokumen perencanaan sosial budaya</t>
  </si>
  <si>
    <t>Program Perencanaan
Sosial dan Budaya</t>
  </si>
  <si>
    <t xml:space="preserve">Koordinasi perencanaan pembangunan bidang sosial dan budaya </t>
  </si>
  <si>
    <t>Tersedianya dokumen kajian bidang pemerintahan dan sosial budaya</t>
  </si>
  <si>
    <t xml:space="preserve">Penyelenggaraan kegiatan fasilitasi kebijakan air minum dan penyehatan lingkungan ( AMPL ) di Kabupaten Kebumen </t>
  </si>
  <si>
    <t>Terfasilitasinya kebijakan dan kegiatan (AMPL) di Kabupaten Kebumen  (paket)</t>
  </si>
  <si>
    <t xml:space="preserve">Penyelenggaraan Pendidikan Untuk Semua ( PUS ) </t>
  </si>
  <si>
    <t xml:space="preserve">tersusunnya laporan tahunan program PUS </t>
  </si>
  <si>
    <t xml:space="preserve">Penyusunan data kemiskinan </t>
  </si>
  <si>
    <t xml:space="preserve">Tersusunnya dokumen data kemiskinan kabupaten kebumen </t>
  </si>
  <si>
    <t>tersusunnya pelaporan pelaksanaan GAKY</t>
  </si>
  <si>
    <t>Terkoordinasikannya Perencanaan Pembangunan
Prasarana Wilayah dan Sumber Daya Alam</t>
  </si>
  <si>
    <t>Program Perencanaan
Prasarana Wilayah dan
Sumber Daya Alam</t>
  </si>
  <si>
    <t xml:space="preserve">Koordinasi pengelolaan sumber daya alam </t>
  </si>
  <si>
    <t>Terkoordinasinya perencanaan dan pemanfaatan pengelolaan sumber daya alam</t>
  </si>
  <si>
    <t>Capaian peningkatan wawasan kebangsaan dan politik masyarakat</t>
  </si>
  <si>
    <t xml:space="preserve">Program peningkatan keamanan dan kenyamanan lingkungan </t>
  </si>
  <si>
    <t>kegiatan pengendalian keamanan lingkungan</t>
  </si>
  <si>
    <t>Fasilitasi Kominda dan Fungsi FKDM dalam pemantauan keamanan dan kenyamanan lingkungan</t>
  </si>
  <si>
    <t xml:space="preserve">Program peningkatan pemberantasan penyakit masyarakat </t>
  </si>
  <si>
    <t>Banyaknya masyarakat yang sadar akan bahaya narkoba dan ikut berpartisipasi dalam pemberantasan narkoba</t>
  </si>
  <si>
    <t>Penyuluhan pencegahan peredaran/penggunaan minuman keras dan narkoba</t>
  </si>
  <si>
    <t xml:space="preserve">- Penyuluhan kepada masyarakat tentang bahaya penggunaan narkoba </t>
  </si>
  <si>
    <t>- Kampanye anti narkoba</t>
  </si>
  <si>
    <t>Program Pemberdayaan Masyarakat untuk Menjaga Ketertiban dan Keamanan</t>
  </si>
  <si>
    <t>banyaknya masyarakat yang paham potensi konflik dan langkah penyelesaiannya</t>
  </si>
  <si>
    <t>Peningkatan penguatan kapasitas masayarakat sipil dalam penyelesaian konflik</t>
  </si>
  <si>
    <t>Terselenggaranya Bintek  penguatan kapasitas masayarakat sipil dalam penyelesaian konflik</t>
  </si>
  <si>
    <t>Pengelolaan bantuan keuangan kepada Parpol dan fasilitasi kegiatan politik</t>
  </si>
  <si>
    <t>Bantuan Keuangan Partai yang memiliki kursi di DPRD</t>
  </si>
  <si>
    <t>parpol</t>
  </si>
  <si>
    <t>Bintek Penyusunan LPJ Bankeu parpol</t>
  </si>
  <si>
    <t xml:space="preserve">Program Pengembangan Wawasan Kebangsaan </t>
  </si>
  <si>
    <t>Banyaknya masyarakat yang sadar akan nilai-nilai luhur budaya bangsa</t>
  </si>
  <si>
    <t>Peningkatan rasa solidaritas dan ikatan sosial di kalangan masyarakat</t>
  </si>
  <si>
    <t>outputnya apa (pelatihan atau apa)</t>
  </si>
  <si>
    <t>Peningkatan kesadaran masyarakat akan nilai-nilai luhur budaya bangsa</t>
  </si>
  <si>
    <t>Penguatan Penghayatan Ideologi Pancasila bagi Aparatur dan Elemen Masyarakat.</t>
  </si>
  <si>
    <t xml:space="preserve">Program kemitraan pengembangan wawasan kebangsaan </t>
  </si>
  <si>
    <t>Banyaknya masyarakat yang paham akan pentingnya  rasa persatuan dan kesatuan masyarakat</t>
  </si>
  <si>
    <t>cari kegiatan yang ada di SIM</t>
  </si>
  <si>
    <t xml:space="preserve">Seminar tentang pentingnya rasa persatuan dan kesatuan </t>
  </si>
  <si>
    <t>Fasilitasi pencapaian Halaqoh dan berbagai forum keagamaan lainnyadalam upaya peningkatan wawasan kebangsaan</t>
  </si>
  <si>
    <t>Terfasilitasinya upaya untuk  kerukunan umat beragama melalui FKUB dan FPBI</t>
  </si>
  <si>
    <t xml:space="preserve">Program peningkatan peran serta kepemudaan </t>
  </si>
  <si>
    <t>Banyaknya pemuda yang ikut berperan serta dalam pembangunan</t>
  </si>
  <si>
    <t>Pembinaan organisasi Kepemudaan</t>
  </si>
  <si>
    <t>Terselenggaranya pembinaan organisasi kepemudaan</t>
  </si>
  <si>
    <t>Capaian partisipasi masyarakat/penduduk dalam  proses pemilihan umum</t>
  </si>
  <si>
    <t xml:space="preserve">Program pendidikan politik masyarakat </t>
  </si>
  <si>
    <t>cari keg dalam SIM</t>
  </si>
  <si>
    <t>Terselenggaranya pendidikan politik</t>
  </si>
  <si>
    <t>Terselenggaranya forum diskusi politik</t>
  </si>
  <si>
    <t xml:space="preserve">Pemantauan pelaksanaan Pileg, Pilpres, Pilgub dan Pilbup </t>
  </si>
  <si>
    <t>Pembinaan Orkemas.</t>
  </si>
  <si>
    <t>Terlaksananya pembinaan Orkemas Program Peningkatan Pendidikan Politik Kepada Masyarakat.</t>
  </si>
  <si>
    <t>Peningkatan Penanganan dampak Politik Pemilu</t>
  </si>
  <si>
    <t>Terlaksananya Kegiatan Peningkatan Penanganan Dampak Politik Pemilu Program Peningkatan Dikpol kpd Masyarakat.</t>
  </si>
  <si>
    <t>Terpenuhinya kebutuhan surat menyurat dalam satu tahun</t>
  </si>
  <si>
    <t>Penyediaan jasa komunikasi, Sumber Daya Air dan Listrik</t>
  </si>
  <si>
    <t>Tersedianya penerangan listrik, air dan komunikasi melalui tepon dalam satu tahun</t>
  </si>
  <si>
    <t>Penyediaan jasa pemeliharaan dan perizinan kendaraan dinas / operasional</t>
  </si>
  <si>
    <t>Terwatnya dan tersedianya kendaraan dinas yang dapat beroperasi dengan baik dan lancar (2 roda empat dan 6 roda dua)</t>
  </si>
  <si>
    <t>Terselesaikannya penyusunan laporan administrasi keuangan yang benar dan sesuai tepat waktu</t>
  </si>
  <si>
    <t>Terawatnya kebersihan gedung kantor besera lingkungannya selama satu tahun</t>
  </si>
  <si>
    <t>Penyediaan jasa perbaikan peralatan kantor</t>
  </si>
  <si>
    <t>Terawatnya peralatan kantor kantor selama satu tahun</t>
  </si>
  <si>
    <t>Terpenuhinya kebutuhan alat tulis kantor selama satu tahun</t>
  </si>
  <si>
    <t>Penyediaan barang cetak penggandaan</t>
  </si>
  <si>
    <t>Tercukupinya kebutuhan cetak dan penggandaan selama satu tahun</t>
  </si>
  <si>
    <t>Penyediaan komponen instalasi listrik /penerangan</t>
  </si>
  <si>
    <t>Tercukupinya komponen instalasi listrik selama satu tahun</t>
  </si>
  <si>
    <t>Penyediaan bacaan dan peraturan Perundang-undangan</t>
  </si>
  <si>
    <t>Tersedianya bahan bacaan dan peraturan perundang undangan selama satu tahun</t>
  </si>
  <si>
    <t>Tersedianya makan minum rapat dan tamu selama satu tahun</t>
  </si>
  <si>
    <t>Terlaksananya  kegiatan rapat koordinasi dan konsultasi ke luar daerah</t>
  </si>
  <si>
    <t>Terlaksananya  kegiatan rapat koordinasi dan konsultasi dalam  daerah</t>
  </si>
  <si>
    <t xml:space="preserve">Program Peningkatan Sarana Prasarana Aparatur </t>
  </si>
  <si>
    <t>Bertambahnya sara prasarana aparatur yang memadai</t>
  </si>
  <si>
    <t>Pengadaan Peralatan Gedung  Kantor</t>
  </si>
  <si>
    <t>Terpenuhinya kebutuhan peralatan gedungkantor</t>
  </si>
  <si>
    <t>Pengadaan Sarana Prasarana Kantor</t>
  </si>
  <si>
    <t>PC</t>
  </si>
  <si>
    <t>Laptop</t>
  </si>
  <si>
    <t>printer laserjet</t>
  </si>
  <si>
    <t>LCD</t>
  </si>
  <si>
    <t>Rollscren</t>
  </si>
  <si>
    <t>Audio</t>
  </si>
  <si>
    <t>mesin ketik</t>
  </si>
  <si>
    <t>megaphone</t>
  </si>
  <si>
    <t>TV</t>
  </si>
  <si>
    <t>Kamera</t>
  </si>
  <si>
    <t>Pengadaan kendaraan dinas operasional</t>
  </si>
  <si>
    <t>Terpenuhinya kebutuhan sarana mobilisasi kendaraan roda 2</t>
  </si>
  <si>
    <t>Pemeliharaan gedung/kantor</t>
  </si>
  <si>
    <t>Terpeliharanya gedung kantor</t>
  </si>
  <si>
    <t>Pemeliharaan rutin / berkala mebeler</t>
  </si>
  <si>
    <t>pemeliharaan mebel, kursi dan meja kerja</t>
  </si>
  <si>
    <t>pemeliharaan almari</t>
  </si>
  <si>
    <t>Pengadaan Mebeuler</t>
  </si>
  <si>
    <t>Pengadaan kursi dan meja</t>
  </si>
  <si>
    <t>Pengadaan almari</t>
  </si>
  <si>
    <t xml:space="preserve">Program Pengembangan data / informasi </t>
  </si>
  <si>
    <t>Penyusunan dan pengumpulan data / informasi kebutuhan dokumen perencanaan</t>
  </si>
  <si>
    <t>Penyusunan dokumen Renja, Renstra, LAKIP, RKA, DPA dll</t>
  </si>
  <si>
    <t xml:space="preserve">Program pengembangan data/ informasi/statistik daerah </t>
  </si>
  <si>
    <t>Penyusunan Database Sosial Politik dan Keamanan</t>
  </si>
  <si>
    <t>Tabel 5.1.  Matrik Tujuan, Sasaran, Indikator Kinerja, Program dan Kegiatan Beserta Pendaannya Tahun 2016 - 2021</t>
  </si>
  <si>
    <t xml:space="preserve">INDIKATOR KINERJA PROGRAM (OUTCOME) DAN INDIKATOR KINERJA KEGIATAN (OUTPUT) </t>
  </si>
  <si>
    <t>DATA CAPAIAN PADA TAHUN AWAL PERENCANAAN (AWAL TAHUN 2016)</t>
  </si>
  <si>
    <t>Kondisi pada akhir Periode Renstra</t>
  </si>
  <si>
    <t xml:space="preserve">Prosentase capaian kinerja pelayanan SKPD </t>
  </si>
  <si>
    <t>Program pelayanan administrasi perkantoran</t>
  </si>
  <si>
    <t>Tersedianya jasa surat menyurat untuk Dinkes dan UPT Labkesda (bulan)</t>
  </si>
  <si>
    <t>Tersedianya jasa komunikasi, sumber daya air dan listrik untuk 1 Dinas dan UPT unit Labkesda (bulan)</t>
  </si>
  <si>
    <t>Tersedianya jasa pemeliharaan dan perizinan kendaraan dinas / operasional untuk Dinkes dan UPT Unit Labkesda(bulan)</t>
  </si>
  <si>
    <t>Tersedianya jasa kebersihan kantor untuk Dinkes dan UPT Unit Labkesda(bulan)</t>
  </si>
  <si>
    <t>Penyediaan jasa perbaikann kerja</t>
  </si>
  <si>
    <t>Tersedianya jasa perbaikan peralatan kerja untuk laptop, printer, PC, mesin tik, AC, LCD, Sound system untuk Dinkes(bulan)</t>
  </si>
  <si>
    <t>Tersedianya alat tulis kantor untuk 1 Dinas dan UPT unit Labkesda (bulan)</t>
  </si>
  <si>
    <t>Tersedianya barang cetakan dan penggandaan untuk 1 Dinas (bulan)</t>
  </si>
  <si>
    <t>Penyediaan kompnen instalasi listrik/penerangan bangunan kantor</t>
  </si>
  <si>
    <t>Tersediannya komponen instalasi listrik/penerangan bangunan kantor untuk 1 Dinas dan UPT unit Labkesda (bulan)</t>
  </si>
  <si>
    <t>Tersedianya bahan bacaan dan peraturan  perundang-undangan untuk Dinkes dan UPT Unit Labkesda(bulan)</t>
  </si>
  <si>
    <t>Penyediaan makanan dan minuman untuk Dinkes (bulan)</t>
  </si>
  <si>
    <t>Rapat-rapat koordinasi dan konsultasi ke luar daerah untuk Dinkes (bulan)</t>
  </si>
  <si>
    <t>Tersedianya Gaji PTT jajaran Dinas Kesehatan</t>
  </si>
  <si>
    <t>Rapat-rapat koordinasi dan konsultasi ke dalam daerah</t>
  </si>
  <si>
    <t>Terlaksananya rapat koordinasi dan konsultasi ke dalam daerah untuk Dinkes (bulan)</t>
  </si>
  <si>
    <t>Tersedianya Jasa  Administrasi Keuangan</t>
  </si>
  <si>
    <t>Program Peningkatan sarana dan prasarana kantor</t>
  </si>
  <si>
    <t>Bertambahnya sarana prasarana kantor yang memadai</t>
  </si>
  <si>
    <t>Pengadaan Peralatan Gedung Kantor</t>
  </si>
  <si>
    <t>Tersedianya peralatan gedung kantor</t>
  </si>
  <si>
    <t xml:space="preserve">pkt </t>
  </si>
  <si>
    <t>pkt</t>
  </si>
  <si>
    <t>Pemeliharaan rutin/berkala gedung kantor untuk Dinkes (bulan)</t>
  </si>
  <si>
    <t>Pemeliharaan rutin/berkala mebeleur untuk Dinas (bulan)</t>
  </si>
  <si>
    <t>Rehabilitasi sedang/berat gedung kantor (bulan)</t>
  </si>
  <si>
    <t>Tersusunnya dokumen database kesehatan, data perencanaan dan evaluasi pembangunan (Renstra, Renja, RKA/DPA, Evaluasi pelaksanaan SPM, LAKIP)</t>
  </si>
  <si>
    <t>Program Kemitraan peningkatan pelayanan kesehatan</t>
  </si>
  <si>
    <t>Kemitraan asuransi kesehatan masyarakat</t>
  </si>
  <si>
    <t>jumlah penduduk yang menjadi peserta jaminan kesehatan</t>
  </si>
  <si>
    <t>Program Pencegahan dan penanggulangan penyakit menular</t>
  </si>
  <si>
    <t>Peningkatan imunisasi</t>
  </si>
  <si>
    <t>Universal Child Immunization (UCI) pada Bayi (0 s/d 11 bulan)</t>
  </si>
  <si>
    <t>Peningkatan surveilance epidemiologi dan penanggulangan wabah</t>
  </si>
  <si>
    <t>- Pendeteksian kasus AFP &lt; 15 tahun</t>
  </si>
  <si>
    <t>per 100 ribu umur &lt; 15 th</t>
  </si>
  <si>
    <t>&gt;2</t>
  </si>
  <si>
    <t>- Penanganan Kejadian Luar Biasa (KLB) penyakit dan keracunan makanan</t>
  </si>
  <si>
    <t>Pelayanan pencegahan dan penanggulanagn penyakit menular</t>
  </si>
  <si>
    <t>Pendeteksian kasus TB Paru pd masyarakat</t>
  </si>
  <si>
    <t>Penanganan balita Pneumonia</t>
  </si>
  <si>
    <t xml:space="preserve">Penanganan kasus diare </t>
  </si>
  <si>
    <t>Penanganan kausu DBD</t>
  </si>
  <si>
    <t>Pendeteksian kasus HIV AIDS</t>
  </si>
  <si>
    <t xml:space="preserve">Jumlah Desa Pelaksana STBM </t>
  </si>
  <si>
    <t>Program Pengembangan Lingkungan sehat</t>
  </si>
  <si>
    <t xml:space="preserve">Pelayanan Penyehatan Lingkungan </t>
  </si>
  <si>
    <t>Cak Rumah Sehat</t>
  </si>
  <si>
    <t>Cak Akses Jamban Sehat</t>
  </si>
  <si>
    <t>Cak Tempat-tempat Umum yang memenuhi syarat</t>
  </si>
  <si>
    <t>Cak Tempat Pengelolaan Makanan Sehat</t>
  </si>
  <si>
    <t>Cak Fasyankes (Puskesmas &amp; Klinik) ramah lingkungan</t>
  </si>
  <si>
    <t>Cak Rumah Sakit ramah lingkungan</t>
  </si>
  <si>
    <t>Survailans Kualitas Air</t>
  </si>
  <si>
    <t>- Cak Akses berkelanjutan thd air minum berkualitas/ layak</t>
  </si>
  <si>
    <t>- Cak air minum di penyelenggara air minum yang memenuhi syarat</t>
  </si>
  <si>
    <t>Jumlah kunjungan rawat jalan puskesmas</t>
  </si>
  <si>
    <t>Program Upaya kesehatan masyarakat</t>
  </si>
  <si>
    <t>Peningkatan pelayanan dan penanggulangan masalah kesehatan</t>
  </si>
  <si>
    <t>Meningkatkan mutu pelayanan kesehatan dan kerjasama lintas sektor terkait, masyarakat dan  swasta</t>
  </si>
  <si>
    <t xml:space="preserve">Meningkatnya pengetahuan tentang upaya kesehatan kerja </t>
  </si>
  <si>
    <t>Meningkatnya kompetensi petugas memberikan pelayanan kesehatan gigi</t>
  </si>
  <si>
    <t>Meningkatnya mutu pelayanan gawat darurat dan mencegah terjadinya kecacatan</t>
  </si>
  <si>
    <t>Meningkatnya koordinasi antara fasilitas pelayanan kesehatan</t>
  </si>
  <si>
    <t>Penyediaan biaya opersional dan pemeliharaan</t>
  </si>
  <si>
    <t>terselenggaranya operasional dan pemeliharaan Labkesda dan puskesmas</t>
  </si>
  <si>
    <t>Pengendalian dan pencegahan penyakit tidak menular</t>
  </si>
  <si>
    <t>Kegiatan pengembangan Posbindu PTM</t>
  </si>
  <si>
    <t>Evaluasi dan pemantapan program IVA</t>
  </si>
  <si>
    <t xml:space="preserve">Orang </t>
  </si>
  <si>
    <t>Pemantapan Portal WEB PPTPM bagi programer IVA dan PTM</t>
  </si>
  <si>
    <t>presentase desa/kelurahan yang melaksanakan kegiatan posbindu</t>
  </si>
  <si>
    <t>prosentase perempuan usia 30-59 tahun yang dilayani deteksi dini kanker leher rahim dan payudara sesuai standart</t>
  </si>
  <si>
    <t>Revitalisasi Posyandu</t>
  </si>
  <si>
    <t>Meningkatkan capaian Posyandu Strata  mandiri.</t>
  </si>
  <si>
    <t>Peningkatan Kopetensi Pengelola Posyandu Puskesmas</t>
  </si>
  <si>
    <t>Rakor Sinergitas potensi untuk  pembangan Posyandu tingkat Kabupaten dan kecamatan dg peserta 41 orang</t>
  </si>
  <si>
    <t>Pertemuan Evaluasi Program Posyandu</t>
  </si>
  <si>
    <t>Meningkatnya prosentase desa strata siaga aktif  mandiri.</t>
  </si>
  <si>
    <t>Program Promosi Kesehatan dan Pemberdayaan Masyarakat</t>
  </si>
  <si>
    <t xml:space="preserve">Pemberdayaan kesehatan masyarakat dalam rangka Kebumen Sehat (Desa Siaga) </t>
  </si>
  <si>
    <t>Peningkatan Kompetensi petugas Puskesmas dalam pengembangan Desa dan Kelurahan Siaga Aktif.</t>
  </si>
  <si>
    <t>Sinergitas potensi masyarakat untuk pengembangan Desa dan Kelurahan Siaga Aktif.</t>
  </si>
  <si>
    <t>Lomba pemberdayaan masyarakat dalam pengembangan Desa dan Kelurahan Siaga Aktif.</t>
  </si>
  <si>
    <t xml:space="preserve">Jambore Kader  FKD (Forum Kesehatan Desa)   </t>
  </si>
  <si>
    <t>Jambore SBH (Saka Bakti Husada) Tingkat Kabupaten Kebumen.</t>
  </si>
  <si>
    <t>Pembinaan dan pemberdayaan SBH (Saka Bakti Husada)</t>
  </si>
  <si>
    <t>siswa</t>
  </si>
  <si>
    <t>Peningkatan Kompetensi Bidan  dalam pengembangan Desa dan Kelurahan Siaga Aktif.</t>
  </si>
  <si>
    <t>Pemetaan Perilaku Hidup Bersih dan Sehat (PHBS) Kab. Kebumen</t>
  </si>
  <si>
    <t>Meningkatkan capaian PHBS strata Paripurna.</t>
  </si>
  <si>
    <t>TOT PHBS Tatanan Institusi Pendidikan bagi Guru UKS</t>
  </si>
  <si>
    <t>sekolah</t>
  </si>
  <si>
    <t>Terbentuknya satu Desa dan satu Kelurahan  Sentinel PHBS di Kabupaten Kebumen.</t>
  </si>
  <si>
    <t>Kampanye PHBS Tatanan Rumah Tangga</t>
  </si>
  <si>
    <t>Senam Sehat Kebumen</t>
  </si>
  <si>
    <t>6 Kali</t>
  </si>
  <si>
    <t>Pengembangan media promosi dan informasi sadar hidup sehat</t>
  </si>
  <si>
    <t>Tersosialisinya program dan informasi kesehatan, terlaksananya pawai/karnaval, pameran, pemutaran film, tersedianya buletin kesehatan dan media promosi lainnya.</t>
  </si>
  <si>
    <t>Cakupan penanganan ibu hamil resiko tinggi</t>
  </si>
  <si>
    <t>Program Peningkatan Pelayanan Kesehatan Anak Balita</t>
  </si>
  <si>
    <t xml:space="preserve">Angka Kematian Ibu </t>
  </si>
  <si>
    <t>per 100 ribu KH</t>
  </si>
  <si>
    <t>Jumlah kasus kematian bayi</t>
  </si>
  <si>
    <t>KASUS</t>
  </si>
  <si>
    <t>- Angka Kematian Bayi (IMR)</t>
  </si>
  <si>
    <t>Per 1000 KH</t>
  </si>
  <si>
    <t>10,5</t>
  </si>
  <si>
    <t>Cakupan Pertolongan Persalinan di fasyankes berstandart</t>
  </si>
  <si>
    <t>95</t>
  </si>
  <si>
    <t>90</t>
  </si>
  <si>
    <t>92</t>
  </si>
  <si>
    <t>Cakupan kunjungan ibu hamil ( K4 )</t>
  </si>
  <si>
    <t xml:space="preserve">Cakupan deteksi resiko tinggi oleh tenaga kesehatan </t>
  </si>
  <si>
    <t>80</t>
  </si>
  <si>
    <t>82</t>
  </si>
  <si>
    <t>83</t>
  </si>
  <si>
    <t>Cakupan kunjungan nifas (KF)</t>
  </si>
  <si>
    <t>91</t>
  </si>
  <si>
    <t>93</t>
  </si>
  <si>
    <t>Cakupan penanganan komplikasi maternal</t>
  </si>
  <si>
    <t>81</t>
  </si>
  <si>
    <t>Cakupan kunjungan Neonatus Pertama (KN1)</t>
  </si>
  <si>
    <t>Cakupan Pelayanan Kesehatan Bayi 29 hari - 12 bulan ( Kunjungan Bayi)</t>
  </si>
  <si>
    <t>94</t>
  </si>
  <si>
    <t>Cakupan Pelayanan Anak Balita (12 -59 bulan)</t>
  </si>
  <si>
    <t>87</t>
  </si>
  <si>
    <t>85</t>
  </si>
  <si>
    <t xml:space="preserve">Cakupan penanganan komplikasi neonatus </t>
  </si>
  <si>
    <t>Pelatihan dan Pendidikan Perawatan Anak Balita</t>
  </si>
  <si>
    <t>Program Perbaikan Gizi Masyarakat</t>
  </si>
  <si>
    <t>Prosentase balita kurus yang mendapat makanan tambahan</t>
  </si>
  <si>
    <t>Pemberian tambahan makanan dan vitamin</t>
  </si>
  <si>
    <t xml:space="preserve">Pemberian makanan tambahan untuk balita kurus dan gizi buruk </t>
  </si>
  <si>
    <t>Penanggulangan KEP, Anemia, GAKY, kurang Vit A, daat Gizi Mikro Lainnya</t>
  </si>
  <si>
    <t>Pembinaan/Sosialisasi kepada Ibu hamil dan menyusui terkait pentingnya ASI Eksklusif</t>
  </si>
  <si>
    <t xml:space="preserve">Pemberian tablet tambah darah untuk ibu hamil </t>
  </si>
  <si>
    <t>Pemberian tablet tambah darah  remaja putri</t>
  </si>
  <si>
    <t>Pemberian PMT Bumil KEK</t>
  </si>
  <si>
    <t>Program Obat dan Perbekalan Kesehatan</t>
  </si>
  <si>
    <t xml:space="preserve"> </t>
  </si>
  <si>
    <t>Pengadaaan Obat dan Perbekalan Kesehatan(DAK)</t>
  </si>
  <si>
    <t xml:space="preserve">Tercukupinya kebutuhan obat pelayanan kesehatan dasar dan penunjang </t>
  </si>
  <si>
    <t>Pengadaaan Obat dan Perbekalan Kesehatan</t>
  </si>
  <si>
    <t>Pemenuhan Kebutuhan reagen, vaccin carrier</t>
  </si>
  <si>
    <t>Peningkatan mutu penggunaan obat dan perbekalan kesehatan</t>
  </si>
  <si>
    <t>Terselenggaranya pengobatan rasional di sarana pelayanan kesehatan untuk menunjang efektivitas dan efisiensi pengobatan</t>
  </si>
  <si>
    <t>Program Pengawasan Obat dan Makanan</t>
  </si>
  <si>
    <t>Banyaknya fasilitasi pengawasan obat dan makanan</t>
  </si>
  <si>
    <t>Peningkatan pengawasan keamanan pangan dan bahan berbahaya</t>
  </si>
  <si>
    <t>Terlaksananya pengawasan keamanan pangan dan bahan berbahaya</t>
  </si>
  <si>
    <t>Terlaksananya sampling makanan minuman yang beredar di wilayah Kab. Kebumen</t>
  </si>
  <si>
    <t>sampel</t>
  </si>
  <si>
    <t>Peningkatan kapasitas laboratorium pengawasan obat dan makanan</t>
  </si>
  <si>
    <t>Tersedianya reagen pemeriksaan labkes, farmasi,KLB dan pangan</t>
  </si>
  <si>
    <t>Program Pengadaan, peningkatan dan perbaikan sarana dan prasarna puskesmas/puskesmas pembantu dan jaringannya</t>
  </si>
  <si>
    <t>Peningkatan Puskesmas menjadi Puskesmas Rawat Inap</t>
  </si>
  <si>
    <t>Pengadaan Sarana dan Prasarana Puskesmas</t>
  </si>
  <si>
    <t>Terlaksananya Pengadaan Sarana dan Prasarana Puskesmas</t>
  </si>
  <si>
    <t>Pengadaan,peningkatan sarana dan prasarana RS/RS Jiwa,RS Paru/RS Mata</t>
  </si>
  <si>
    <t>Terlaksananya Pengadaan Alat - alat Rumah sakit</t>
  </si>
  <si>
    <t>Program Standarisasi pelayanan kesehatan</t>
  </si>
  <si>
    <t>Tingkat mutu pelayanan sarana kesehatan</t>
  </si>
  <si>
    <t>Penyusunan standar pelayanan kesehatan</t>
  </si>
  <si>
    <t>Pendampingan akreditasi puskesmas</t>
  </si>
  <si>
    <t>terselenggaranya bintek SDM Kesehatan</t>
  </si>
  <si>
    <t>Evaluasi dan pengembangan standar pelayanan kesehatan</t>
  </si>
  <si>
    <t>Terselenggaranya pelayanan perizinan nakes</t>
  </si>
  <si>
    <t>Terselenggaranya Bimwas Fasyankes</t>
  </si>
  <si>
    <t>Terselenggaranya Bintek Perizinan RS, Klinik, Apotek</t>
  </si>
  <si>
    <t>Terselenggaranya Pemilihan Nakes Teladan</t>
  </si>
  <si>
    <t>kategori</t>
  </si>
  <si>
    <t>Pembangunan dan pemutakhiran data dasar standar pelayanan pusk</t>
  </si>
  <si>
    <t>Terpenuhinya data mutakhir kesehatan</t>
  </si>
  <si>
    <t>Jumlah Pusk merapkan SIK</t>
  </si>
  <si>
    <t>CAPIL</t>
  </si>
  <si>
    <t>SKPD Penanggungjawab</t>
  </si>
  <si>
    <t>DINKES</t>
  </si>
  <si>
    <t>BAPPEDA</t>
  </si>
  <si>
    <t>PERPUSARDA</t>
  </si>
  <si>
    <t>BPPKB</t>
  </si>
  <si>
    <t>KESBANG</t>
  </si>
  <si>
    <t>SETWAN</t>
  </si>
  <si>
    <t>DPPKAD</t>
  </si>
  <si>
    <t>Program Administrasi Perkantoran</t>
  </si>
  <si>
    <t>DIKPORA</t>
  </si>
  <si>
    <t>Terlaksananya pengiriman surat menyurat</t>
  </si>
  <si>
    <t>Bulan</t>
  </si>
  <si>
    <t xml:space="preserve">Pembayaran Jasa Komunikasi, Listrik dan Air </t>
  </si>
  <si>
    <t>Terpeliharanya layanan transportasi</t>
  </si>
  <si>
    <t>Terlaksananya pemberian jasa pengelolaan keuangan</t>
  </si>
  <si>
    <t>Pembayaran Penyediaan jasa kebersihan kantor</t>
  </si>
  <si>
    <t>Penyediaan peralatan kantor</t>
  </si>
  <si>
    <t>Terselenggaranya Program Layanan Administrasi Perkantoran</t>
  </si>
  <si>
    <t>Tersedianya Alat Instalasi Listrik</t>
  </si>
  <si>
    <t>Tersedianya Bahan Bacaan</t>
  </si>
  <si>
    <t xml:space="preserve">Tercukupinya keprluan makan dan minum rapat </t>
  </si>
  <si>
    <t xml:space="preserve">Terlaksananya Rapat-rapat Koordinasi dan Konsultasi ke Luar Daerah </t>
  </si>
  <si>
    <t>Terlaksananya pemberian honor GTT/PTT dilingkungan Dinas Dikpora Kab. Kebumen</t>
  </si>
  <si>
    <t>Terlaksananya Monev di lingkungan Dinas Dikpora Kab. Kebumen</t>
  </si>
  <si>
    <t>Pembangunan gedung kantor</t>
  </si>
  <si>
    <t xml:space="preserve">Dibangunnya Gedung Kantor Dinas Dikpora dan UPT Dikpora </t>
  </si>
  <si>
    <t>Gedung</t>
  </si>
  <si>
    <t>pengadaan Kendaraan dinas/operasional</t>
  </si>
  <si>
    <t xml:space="preserve">Tersedianya Kendaraan Dinas/Operasional </t>
  </si>
  <si>
    <t>Pemenuhan kebutuhan sarana dan prasarana Kantor</t>
  </si>
  <si>
    <t>Tersedianya tanah untuk pendirian gedung Kantor</t>
  </si>
  <si>
    <t>Terpeliharanya gedung kantor Dinas Dikpora Kab. Kebumen</t>
  </si>
  <si>
    <t xml:space="preserve">Tercapainya rehabilitasi sedang/berat gedung kantor UPTD Dikpora Kecamatan </t>
  </si>
  <si>
    <t>Program Pendidikan Anak Usia Dini</t>
  </si>
  <si>
    <t>APK PAUD 0-6</t>
  </si>
  <si>
    <t>Penyelenggaraan koordinasi dan kerjasama pendidikan anak usia dini</t>
  </si>
  <si>
    <t>Fasilitasi Kegiatan Pendidikan Anak Usia Dini</t>
  </si>
  <si>
    <t>Monitoring, evaluasi Pendidikan Anak Usia Dini</t>
  </si>
  <si>
    <t>Koordinasi Dinas Kabupaten/Provinsi dengan lembaga PAUD</t>
  </si>
  <si>
    <t>Pelaksanaan Akreditasi Lembaga</t>
  </si>
  <si>
    <t>Pelaksanaan Akreditasi Lembaga PAUD</t>
  </si>
  <si>
    <t>Lembaga</t>
  </si>
  <si>
    <t>Bantuan Operasional PAUD (BOP) dari anggaran APBN</t>
  </si>
  <si>
    <t>Terlaksananya kegiatan belajar mengajar pada lembaga PAUD</t>
  </si>
  <si>
    <t>Pelatihan kompetensi tenaga pendidik PAUD dan GOPTKI</t>
  </si>
  <si>
    <t>Peningkatan kompetensi tenaga pendidik PAUD dan GOPTKI</t>
  </si>
  <si>
    <t>Orang/Tutor</t>
  </si>
  <si>
    <t>Program Pendidikan Non Formal</t>
  </si>
  <si>
    <t>Akreditasi BAN-PNF (APBD)</t>
  </si>
  <si>
    <t>lembaga</t>
  </si>
  <si>
    <t>Pengembangan pendidikan keaksaraan</t>
  </si>
  <si>
    <t>Penyelenggaraan paket A setara SD (BANPROP)</t>
  </si>
  <si>
    <t>Penyelenggaraan paket B setara SMP (BANPROP)</t>
  </si>
  <si>
    <t>Penyelenggaraan paket C setara SMU (BANPROP)</t>
  </si>
  <si>
    <t>Pengembangan pendidikan keaksaraan (BANPROP)</t>
  </si>
  <si>
    <t>Pemberdayaan tenaga pendidik non formal (BANPROP)</t>
  </si>
  <si>
    <t>Pengembangan pendidikan kecakapan hidup</t>
  </si>
  <si>
    <t>Pengembangan kebijakan pendidikan non formal (BANPROP)</t>
  </si>
  <si>
    <t>Penyelenggaraan Rintisan Desa Vokasi</t>
  </si>
  <si>
    <t>Pelatihan/Workshop Gender</t>
  </si>
  <si>
    <t>Kewirausahaan</t>
  </si>
  <si>
    <t>Kampung Inggris dan Arab</t>
  </si>
  <si>
    <t>Program Wajib Belajar Pendidikan Dasar Sembilan Tahun</t>
  </si>
  <si>
    <t>APK SD/MI</t>
  </si>
  <si>
    <t>Sekolah</t>
  </si>
  <si>
    <t>Monitoring, evaluasi dan pelaporan (BOS)</t>
  </si>
  <si>
    <t>Terlaksananya Kegiatan Monitoring dan evaluasi pelaporan (BOS) SD dan SMP</t>
  </si>
  <si>
    <t>Jumlah Sekolah penerima dana BOS Dikdas</t>
  </si>
  <si>
    <t>Sekolah SD dan SMP</t>
  </si>
  <si>
    <t>Penyelenggaraan akreditasi sekolah dasar</t>
  </si>
  <si>
    <t>Jumlah sekolah jenjang dikdas yang akan diakreditasi. 173 SD dan 37 SMP</t>
  </si>
  <si>
    <t>Penyaluran BSM-PIP(APBN), BKM(APBD)</t>
  </si>
  <si>
    <t>Terfasilitasinya penyaluran BSM-PIP(APBN) dan BKM(APBD)</t>
  </si>
  <si>
    <t>Jumlah sekolah penerima dana PIP jenjang Dikdas</t>
  </si>
  <si>
    <t>Bantuan Fasilitasi Penyelenggaraan UN dan UNPK (BANPROP)</t>
  </si>
  <si>
    <t>Terfasilitasinya penyelenggaraan UN dan UNPK</t>
  </si>
  <si>
    <t>Jumlah sekolah jenjang dikdas Melaksanakan UN dan UNPK</t>
  </si>
  <si>
    <t>Pengadaan buku-buku dan alat tulis siswa (BANPROP)</t>
  </si>
  <si>
    <t>Tersedianya  buku-buku dan alat tulis siswa untuk peserta didik jenjang Dikdas</t>
  </si>
  <si>
    <t>Penyelenggaraan Ujian Akhir Sekolah Berstandar Nasional (UASBN) SD/MI/SDLB</t>
  </si>
  <si>
    <t xml:space="preserve">Terlaksananya UASBN di Sekolah dan Madrasah </t>
  </si>
  <si>
    <t>Pembinaaan minat, bakat, dan kreativitas siswa</t>
  </si>
  <si>
    <t>Pembinaaan minat, bakat, dan kreativitas siswa ( lomba bagi siswa SD/SDLB, SMP/SMPLB yang meliputi :1. LCC, 2. FL2SN, 3. OSN, 4. Lomba Dokter kecil SD dan KKR SMP, 5. OOSN, 6. Lomba MAPSI, 7. LSS, 8. Lomba Perpustakaan, 10. Lomba gugus SD )</t>
  </si>
  <si>
    <t xml:space="preserve">Pembinaan minat, bakat dan kreativitas siswa  (BANPROP) </t>
  </si>
  <si>
    <t>Pelaksanaan Pengiriman Peserta Lomba ke tingkat Provinsi dan Nasional</t>
  </si>
  <si>
    <t>Rapat Koordinasi program dan kegiatan pengawasan di sekolah terkait pelaksanaan MBS, Kurikulum dan SPM Pendidikan pada indikator pengawasan dan supervisi</t>
  </si>
  <si>
    <t>Pendampingan pelaksanaan MBS Satuan Pendidikan pada Sekolah Dasar di 125 Gugus Sekolah Dasar</t>
  </si>
  <si>
    <t>Gugus SD</t>
  </si>
  <si>
    <t xml:space="preserve">Pelatihan Mata Pelajaran yang Di US/UN dan Pelatihan Kurikulum </t>
  </si>
  <si>
    <t>Peningkatan kompetensi tenaga pendidik di jenjang sekolah dasar</t>
  </si>
  <si>
    <t>Program Pendidikan Menengah</t>
  </si>
  <si>
    <t>Penyelenggaraan akreditasi sekolah menengah</t>
  </si>
  <si>
    <t>Terakreditasinya Sekolah jenjang SMA, MA, dan SMK</t>
  </si>
  <si>
    <t>Pembinaan Minat, Bakat, dan Kreativitas Siswa</t>
  </si>
  <si>
    <t>Pembinaan minat, bakat dan kreativitas terhadap siswa berprestasi untuk mewakili lomba pada tingkat provinsi dan nasional.</t>
  </si>
  <si>
    <t xml:space="preserve">Uji Kompetensi Sertifikasi Siswa SMK </t>
  </si>
  <si>
    <t>Peningkatan SDM jenjang pendidikan SMA/SMK melalui Uji Kompetensi Siswa</t>
  </si>
  <si>
    <t>Siswa</t>
  </si>
  <si>
    <t>Peningkatan kerjasama dengan dunia usaha dan dunia industri (BANPROV)</t>
  </si>
  <si>
    <t>Terfasilitasinya kerjasama SMK dengan Dunia Usaha dan Dunia Industri</t>
  </si>
  <si>
    <t>Bussinness Center (Banprov)</t>
  </si>
  <si>
    <t>Meningkatnya daya saing lulusan SMK</t>
  </si>
  <si>
    <t>Kelas Industri (Banprov)</t>
  </si>
  <si>
    <t>Bursa Kerja Khusus (Banprov)</t>
  </si>
  <si>
    <t>SMK Rujukan (APBN)</t>
  </si>
  <si>
    <t>Teaching Factory (Banprov)</t>
  </si>
  <si>
    <t>Tempat Uji Kompetensi (TUK) - (Banprov)</t>
  </si>
  <si>
    <t>Penelitian dan pengembangan penelitian guru dan siswa (BANPROP)</t>
  </si>
  <si>
    <t>Peningkatan Mutu dan kompetensi guru dan siswa jenjang SMA</t>
  </si>
  <si>
    <t>Program Peningkatan Mutu Pendidik Dan Tenaga Kependidikan</t>
  </si>
  <si>
    <t>Pelaksanaan Sertifikasi pendidik</t>
  </si>
  <si>
    <t>Guru/pendidik</t>
  </si>
  <si>
    <t>Pelaksanaan Penilaian Angka Kredit</t>
  </si>
  <si>
    <t>Terlaksananya Penilaian Angka Kredit bagi pendidik/guru</t>
  </si>
  <si>
    <t>Pelatihan bagi pendidik untuk memenuhi standar kompetensi</t>
  </si>
  <si>
    <t>Meningkatnya standar kompetensi pendidik untuk memenuhi standar kompetensi</t>
  </si>
  <si>
    <t>Pengembangan mutu dan kualitas program pendidikan dan pelatihan bagi pendidik dan tenaga kependidikan (BANPROP)</t>
  </si>
  <si>
    <t>Peningkatan mutu dan kualitas layanan pendidikan pendidikan di sekolah</t>
  </si>
  <si>
    <t>Tutor/Guru</t>
  </si>
  <si>
    <t>Pengembangan mutu dan kualitas program pendidikan dan pelatihan bagi pendidik dan tenaga kependidikan</t>
  </si>
  <si>
    <t>Pengembangan Konten Sistem Informasi Manajemen Guru dan Tenaga Kependidikan (GTK) berbasis DAPODIK</t>
  </si>
  <si>
    <t>Tersedianya sistem infoemasi manajemen Guru dan Tenaga Kependidikan untuk keperluan pemetaan dan analisa kebutuhan GTK</t>
  </si>
  <si>
    <t>Aplikasi</t>
  </si>
  <si>
    <t>Pendidikan lanjutan bagi pendidik untuk memenuhi standar kualifikasi (BANPROP)</t>
  </si>
  <si>
    <t xml:space="preserve">Peningkatan standar kualifikasi minimum D4/S1 Guru/Pendidik </t>
  </si>
  <si>
    <t>Pendidik</t>
  </si>
  <si>
    <t>Pemberian Honor Daerah kepada Pendidik/Tutor PAUD (APBD)</t>
  </si>
  <si>
    <t>Pengembangan sistem penghargaan dan perlindungan terhadap profesi pendidik (BANPROP)</t>
  </si>
  <si>
    <t>Peningkatan sistem penghargaan dan perlindungan terhadap profesi pendidik</t>
  </si>
  <si>
    <t>pendidik</t>
  </si>
  <si>
    <t>Fasilitasi Penilaian Kinerja Guru dan Kepala Sekolah</t>
  </si>
  <si>
    <t>Terlaksananya penilaian kinerja guru dan kepala sekolah</t>
  </si>
  <si>
    <t>Fasilitasi Penilaian Kinerja Pengawas Sekolah dan Penilik</t>
  </si>
  <si>
    <t>Terlaksananya penilaian kinerja Pengawas Sekolah dan Penilik Sekolah</t>
  </si>
  <si>
    <t>Seleksi dan pembekalan serta pelantikan /pengambilan sumpah calon kepala sekolah di lingkungan Pemkab Kebumen</t>
  </si>
  <si>
    <t>Terlaksananya seleksi dan pembekalan calon Kepala Sekolah</t>
  </si>
  <si>
    <t>Bintek kepada Kasek SMP, SMA, SMK Negeri dan Pejabat Struktural di lingkungan Dinas Dikpora Kebumen</t>
  </si>
  <si>
    <t>Program Manajemen Pelayanan Pendidikan</t>
  </si>
  <si>
    <t>Penerapan sistem dan informasi manajemen pendidikan</t>
  </si>
  <si>
    <t>Tersedianya Sistem Informasi Manajemen Pendidikan berbasiskan Data Pokok Pendidikan</t>
  </si>
  <si>
    <t>Verifikasi dan Validasi Data Pokok Pendidikan, serta data BSM/BKM</t>
  </si>
  <si>
    <t>Monitoring, evaluasi dan pelaporan (BANPROP)</t>
  </si>
  <si>
    <t>Terlaksananya kegiatan monitoring, evaluasi dan pelaporan</t>
  </si>
  <si>
    <t>Penyusunan dan pengumpulan data dan statistik daerah (BANPROP)</t>
  </si>
  <si>
    <t>Monitoring, Evaluasi Dan Pelaporan Dapodik</t>
  </si>
  <si>
    <t>Aplikasi pengelolaan data Siswa, PTK, dan Satuan Pendidikan</t>
  </si>
  <si>
    <t>Sarana  dan prasarana Data /informasi</t>
  </si>
  <si>
    <t>Program Peningkatan Peran Serta Kepemudaan</t>
  </si>
  <si>
    <t>Pemuda</t>
  </si>
  <si>
    <t>Capaian keikutsertaan pemuda dalam skala regional dan nasional</t>
  </si>
  <si>
    <t>Kecamatan</t>
  </si>
  <si>
    <t>Pembinaan organisasi kepemudaan</t>
  </si>
  <si>
    <t>Fasilitasi Pembinaan Organisasi Kepemudaan</t>
  </si>
  <si>
    <t>Penyelenggaraan Kegiatan Kepramukaan</t>
  </si>
  <si>
    <t>Penyelenggaraan kegiatan kepramukaan (BANPROP)</t>
  </si>
  <si>
    <t>Program Pengembangan Kebijakan dan Manajemen Olah Raga</t>
  </si>
  <si>
    <t>Jumlah Pelatih Olahraga yang dikirim mengikuti pelatihan</t>
  </si>
  <si>
    <t>Pelatih</t>
  </si>
  <si>
    <t>Capaian prestasi cabang olahraga</t>
  </si>
  <si>
    <t>Cabor</t>
  </si>
  <si>
    <t>Peningkatan Mutu Organisasi dan Tenaga Keolahragaan</t>
  </si>
  <si>
    <t>Pelatihan Pelatih Olahraga bersertifikat</t>
  </si>
  <si>
    <t>Program Pembinaan dan Pemasyarakatan Olah Raga</t>
  </si>
  <si>
    <t xml:space="preserve">Pengiriman Atlit POPDA SD, SMP, SMA Tk Kab Kebumen, Kar Kedu, dan Pengiriman atlet Popda Tk.Prov Jateng </t>
  </si>
  <si>
    <t>Atlet</t>
  </si>
  <si>
    <t>Beasiswa Prestasi</t>
  </si>
  <si>
    <t xml:space="preserve">Pemberian penghargaan bagi insan olahraga yang berdedikasi dan berprestasi </t>
  </si>
  <si>
    <t>Pembinaan Cabang Olahraga Prestasi di Tingkat Daerah</t>
  </si>
  <si>
    <t>Penyelenggaraan Kompetisi Olahraga</t>
  </si>
  <si>
    <t xml:space="preserve">Terselenggaranya POPDA  SD, SMP, SMA Tk Kab Kebumen, Kar Kedu, dan Pengiriman atlet Popda Tk.Prov Jateng </t>
  </si>
  <si>
    <t>Program Peningkatan Sarana dan Prasarana Olahraga</t>
  </si>
  <si>
    <t>Pengembangan Olah Raga Rekreasi</t>
  </si>
  <si>
    <t>Pengembangan olahraga Lansia termasuk penyandang cacat</t>
  </si>
  <si>
    <t>Peningkatan Kerjasama Pola Kemitraan antara Pemerintah dan Masyarakat untuk pembangunan sarana dan prasarana olahraga</t>
  </si>
  <si>
    <t>Pemasaran Olah Raga Bagi Pelajar, mahasiswa dan Masyarakat</t>
  </si>
  <si>
    <t>Misi 5 : Menyediakan sarana dan prasarana pendidikan yang baik, meningkatkan nilai kualitas pendidikan serta membuka askes kesehatan yang maksimal dan terjangkau bagi seluruh lapisan masyarakat</t>
  </si>
  <si>
    <t>Pembangunan gedung sekolah (BANPROP)</t>
  </si>
  <si>
    <t>Pembangunan Gedung PAUD</t>
  </si>
  <si>
    <t>Rehabilitasi sedang berat ruang sekolah</t>
  </si>
  <si>
    <t xml:space="preserve">Rehabilitasi ruang kelas PAUD rusak sedang berat </t>
  </si>
  <si>
    <t>Pengadaan APE PAUD</t>
  </si>
  <si>
    <t>Tersedianya APE PAUD pada lembaga PAUD</t>
  </si>
  <si>
    <t>Pengadaan RKB PAUD</t>
  </si>
  <si>
    <t>Tersedianya RKB PAUD pada lembaga PAUD</t>
  </si>
  <si>
    <t>Pengadaan mebeluer sekolah</t>
  </si>
  <si>
    <t>Tersedianya Meubelair PAUD</t>
  </si>
  <si>
    <t>Pengadaan sarana peningkatan mutu pendidikan SD (DAK)</t>
  </si>
  <si>
    <t>Peningkatan mutu sarpras Sekolah Dasar</t>
  </si>
  <si>
    <t>Pengadaaan Mebeleur (BANPROP)</t>
  </si>
  <si>
    <t>Penambahan ruang kelas sekolah</t>
  </si>
  <si>
    <t xml:space="preserve">Rehabilitasi sedang/berat ruang kelas sekolah. </t>
  </si>
  <si>
    <t>Pengadaan sarana peningkatan mutu pendidikan SMP (DAK)</t>
  </si>
  <si>
    <t>Peningkatan mutu sarpras Sekolah Menengah Pertama</t>
  </si>
  <si>
    <t>Rehabilitasi sedang/berat ruang kelas sekolah (BANPROP)</t>
  </si>
  <si>
    <t>Pengadaan buku-buku dan alat tulis siswa</t>
  </si>
  <si>
    <t xml:space="preserve">Pembangunan gedung sekolah </t>
  </si>
  <si>
    <t xml:space="preserve">Rehabilitasi sedang/berat bangunan sekolah </t>
  </si>
  <si>
    <t>Penambahan ruang kelas sekolah (BANPROP)</t>
  </si>
  <si>
    <t>Pengadaan sarana peningkatan mutu pendidikan SMA/SMK (DAK)</t>
  </si>
  <si>
    <t xml:space="preserve">Pembangunan Perpustakaan Sekolah </t>
  </si>
  <si>
    <t>Pengadaan alat praktik dan peraga siswa</t>
  </si>
  <si>
    <t>Pembangunan Laboratorium/ruang praktek</t>
  </si>
  <si>
    <t>Angka Harapan Lama Sekolah</t>
  </si>
  <si>
    <t>Persentase Gedung PAUD/sedarajat dalam kondisi baik</t>
  </si>
  <si>
    <t>Persentase Gedung SD/sedarajat dalam kondisi baik</t>
  </si>
  <si>
    <t>Persentase Gedung SMP/ sedarajat dalam kondisi baik</t>
  </si>
  <si>
    <t>Persentase Gedung SMA/ sedarajat dalam kondisi baik</t>
  </si>
  <si>
    <t>Jumlah anggaran</t>
  </si>
  <si>
    <t>Rp.000,-</t>
  </si>
  <si>
    <t>Prosentase Capaian Kinerja Pelayanan SKPD</t>
  </si>
  <si>
    <t>Misi 3 : Mewujudkan kemandirian ekonomi daerah yang berbasis pada pertanian dalam arti luas, industri dan pariwisata yang berdaya saing dan berkelanjutan bertumpu pada pemberdayaan masyarakat</t>
  </si>
  <si>
    <t>Meningkatkan  Daya Saing Investasi dan Pariwisata Daerah</t>
  </si>
  <si>
    <t>Meningkatnya Nilai Indeks Daya Saing Usaha</t>
  </si>
  <si>
    <t>Meningkatnya daya saing investasi daerah</t>
  </si>
  <si>
    <t>Nilai investasi PMA/PMDN</t>
  </si>
  <si>
    <t>Program peningkatan promosi dan kerjasama investasi</t>
  </si>
  <si>
    <t>RP (dlm jutaan)</t>
  </si>
  <si>
    <t>BPMPT</t>
  </si>
  <si>
    <t>Nilai Indeks Kepuasan Masyarakat terhadap pelayanan perijinan</t>
  </si>
  <si>
    <t>Program Peningkatan Efisiensi Perdagangan dalam negeri</t>
  </si>
  <si>
    <t>80,75</t>
  </si>
  <si>
    <t>81,00</t>
  </si>
  <si>
    <t>81,50</t>
  </si>
  <si>
    <t>81,75</t>
  </si>
  <si>
    <t>82,00</t>
  </si>
  <si>
    <t>82,25</t>
  </si>
  <si>
    <t>82,50</t>
  </si>
  <si>
    <t>DISPARBUD</t>
  </si>
  <si>
    <t>Program pengembangan pemasaran pariwisata</t>
  </si>
  <si>
    <t>Program pengembangan Kemitraan</t>
  </si>
  <si>
    <t>Terfasilitasinya program pengembangan pariwisata dan kebudayaan</t>
  </si>
  <si>
    <t>Program Pengembangan Destinasi Wisata</t>
  </si>
  <si>
    <t xml:space="preserve">Bertambahnya Fasilitasi sarana/prasarana  obyek wisata </t>
  </si>
  <si>
    <t>obyek</t>
  </si>
  <si>
    <t>Meningkatkan pertumbuhan ekonomi daerah dan masyarakat yang merata berbasis ekonomi kerakyatan</t>
  </si>
  <si>
    <t>Meningkatnya Angka Pertumbuhan ekonomi</t>
  </si>
  <si>
    <t>Meningkatnya kinerja ekonomi dan pendapatan masyarakat</t>
  </si>
  <si>
    <t>Persentase usaha perdagangan berizin</t>
  </si>
  <si>
    <t>Program Pengembangan Industri kecil dan menengah</t>
  </si>
  <si>
    <t>Program peningkatan ketahanan pangan</t>
  </si>
  <si>
    <t>KETAPANG</t>
  </si>
  <si>
    <t>Ton</t>
  </si>
  <si>
    <t>DISTANAK</t>
  </si>
  <si>
    <t>Prosentase Peningkatan JITUT dan JIDES dalam kondisi baik</t>
  </si>
  <si>
    <t>Program Pengembangan dan Pengelolaan Jaringan Irigasi, Rawa dan Jaringan Pengairan lainnya</t>
  </si>
  <si>
    <t>Program Peningkatan Kesejahteraan Petani</t>
  </si>
  <si>
    <t>% jumlah kelompoktani  yang bankable</t>
  </si>
  <si>
    <t>Program peningkatan penerapan teknologi pertanian/perkebunan</t>
  </si>
  <si>
    <t>Tingkat kecukupan sarana dan prasarana teknologi pertanian/ perkebunan tepat guna</t>
  </si>
  <si>
    <t>Program peningkatan produksi pertanian/perkebunan</t>
  </si>
  <si>
    <t>Penurunan Angka kehilangan Hasil (%)</t>
  </si>
  <si>
    <t>Program peningkatan pemasaran hasil produksi pertanian/perkebunan</t>
  </si>
  <si>
    <t>Terfasilitasinya Promosi hasil produksi pertanian dan peternakan</t>
  </si>
  <si>
    <t>Kg</t>
  </si>
  <si>
    <t>Program peningkatan produksi hasil peternakan</t>
  </si>
  <si>
    <t>ekor</t>
  </si>
  <si>
    <t>terimplementasikannya kartu ternak</t>
  </si>
  <si>
    <t>Program pencegahan dan penanggulangan penyakit ternak</t>
  </si>
  <si>
    <t>Program peningkatan pemasaran hasil produksi peternakan</t>
  </si>
  <si>
    <t xml:space="preserve">Pemeliharaan Rumah Potong Hewan (RPH) </t>
  </si>
  <si>
    <t>ton</t>
  </si>
  <si>
    <t>DINLUTKAN</t>
  </si>
  <si>
    <t>Program Pengembangan Perikanan Tangkap</t>
  </si>
  <si>
    <t>Meningkatnya produksi ikan tangkap</t>
  </si>
  <si>
    <t>Terbentuknya dan berkembangnya Kawasan Agrobisnis Perikanan dan Kelautan</t>
  </si>
  <si>
    <t>Program Pengembangan Budidaya Perikanan</t>
  </si>
  <si>
    <t>lokasi</t>
  </si>
  <si>
    <t>Desa Purwodadi Kec. Kuwarasan, Desa Sidoluhur dan Sinungrejo Kec. Ambal,Desa Tanggulangin dan Jatimalang Kec.Klirong, Desa Ungaran Kec. Kutowinangun, Desa Sido Gede Kec. Prembun dan Desa Semanding Kec. Gombong)</t>
  </si>
  <si>
    <t>Meningkatnya produksi ikan budidaya</t>
  </si>
  <si>
    <t>ha</t>
  </si>
  <si>
    <t xml:space="preserve">Peningkatan angka konsumsi makan ikan  </t>
  </si>
  <si>
    <t>Program Optimalisasi Pengelolaan dan Pemasaran  Produksi Perikanan</t>
  </si>
  <si>
    <t>kg/ka/th</t>
  </si>
  <si>
    <t>Meningkatknya pengetahuan teknis dan manajemen kelompok</t>
  </si>
  <si>
    <t>Peningkatan jumlah Kelompok Masyarakat Pengawas Sumberdaya Kelautan dan Perikanan</t>
  </si>
  <si>
    <t>Program Pemberdayaan Masyarakat dalam Pengawasan dan Pengendalian Sumberdaya Kelautan</t>
  </si>
  <si>
    <t>klp</t>
  </si>
  <si>
    <t>Program Peningkatan Ketahanan Pangan (pertanian/perkebunan)</t>
  </si>
  <si>
    <t>DISHUTBUN</t>
  </si>
  <si>
    <t>Rp.juta</t>
  </si>
  <si>
    <t>M3</t>
  </si>
  <si>
    <t xml:space="preserve">Program Rehabilitasi Hutan dan Lahan </t>
  </si>
  <si>
    <t>klpk</t>
  </si>
  <si>
    <t>Program Perlindungan dan konservasi sumber daya hutan</t>
  </si>
  <si>
    <t>Peningkatan Jumlah UMKM</t>
  </si>
  <si>
    <t>UMKM</t>
  </si>
  <si>
    <t>DINKOP</t>
  </si>
  <si>
    <t>Program Pengembangan Kewirausahaan dan Keunggulan Kompetitif Usaha Kecil Menengah</t>
  </si>
  <si>
    <t>Program pengembangan sistim pendukung usaha bagi Usaha Mikro Kecil Menengah</t>
  </si>
  <si>
    <t>Program penciptaan iklim usaha Usaha Kecil Menengah yang kondusif</t>
  </si>
  <si>
    <t>Meningkatnya Persentase koperasi aktif</t>
  </si>
  <si>
    <t>Program peningkatan kualitas kelembagaan koperasi</t>
  </si>
  <si>
    <t xml:space="preserve">Terbentuknya kawasan industri di Kabupaten kebumen </t>
  </si>
  <si>
    <t>Program Penataan Struktur Industri</t>
  </si>
  <si>
    <t>Pantai Urut Sewu (Kec Petanahan s/d Klirong</t>
  </si>
  <si>
    <t>DISPERINDAG</t>
  </si>
  <si>
    <t>Persentase pasar tradisional dalam kondisi baik</t>
  </si>
  <si>
    <t>Program peningkatan efisiensi perdagangan dalam negeri</t>
  </si>
  <si>
    <t>Kenaikan Jumlah industri kecil menengah</t>
  </si>
  <si>
    <t>Program Pengembangan industri kecil dan menengah</t>
  </si>
  <si>
    <t>Program peningkatan kapasitas Iptek sistem produksi</t>
  </si>
  <si>
    <t>Meningkatnya Jumlah IKM yang menerapkan merek bagi produknya</t>
  </si>
  <si>
    <t>IKM</t>
  </si>
  <si>
    <t xml:space="preserve">Program peningkatan kemampuan teknologi industri </t>
  </si>
  <si>
    <t>Jumlah IKM yang produknya bestandar  SNI</t>
  </si>
  <si>
    <t>Program pengembangan sentra-sentra industri potensial</t>
  </si>
  <si>
    <t>Jumlah wilayah/lokasi yang menerapkan reklame IKM</t>
  </si>
  <si>
    <t>Banyaknya lokasi PKL dan asongan yang tertata</t>
  </si>
  <si>
    <t>Program pembinaan pedagang kaki lima dan asongan</t>
  </si>
  <si>
    <t>Alun-alun Kebumen, Jl. Soetoyo, Pasar Karanganyar, Pasar Petanahan, Pasar Jatisari, Kec Ambal, Kec Buluspesantren, Kec. Karanganyar, Kec. Petanahan, Kec. Gombong, Kec. Puring, Kec. Rowokele, Kec. Ayah</t>
  </si>
  <si>
    <t>Prosentase tertanganinya pengaduan konsumen</t>
  </si>
  <si>
    <t xml:space="preserve">Program perlindungan konsumen dan pengamanan perdagangan </t>
  </si>
  <si>
    <t>Prosentase realisasi target PAD dari pengelolaan pasar</t>
  </si>
  <si>
    <t xml:space="preserve">Program penataan peraturan perundang-undangan </t>
  </si>
  <si>
    <t>perda</t>
  </si>
  <si>
    <t>Misi 4 : Meningkatkan perekonomian daerah yang memiliki daya saing tinggi berbasis pertanian, industri, perikanan, pariwisata dan budaya melalui proses pembangunan ekonomi yang berkesinambungan dalam rangka meningkatkan kesejahteraan dan mengurangi kemiskinan</t>
  </si>
  <si>
    <t>Program Pemberdayaan Fakir Miskin, KAT dan PMKS lainnya</t>
  </si>
  <si>
    <t>Jumlah fakir miskin, KAT dan PMKS yang diberdayakan</t>
  </si>
  <si>
    <t>Banyaknya orang yang terlayani dan terehabilitasi keseahteraan sosialnya</t>
  </si>
  <si>
    <t>Program pembinaan para penyandang cacat dan trauma</t>
  </si>
  <si>
    <t>Jumlah anak nakal, penyandang cacat dan trauma yang terbina</t>
  </si>
  <si>
    <t>Program pembinaan panti asuhan/ panti jompo</t>
  </si>
  <si>
    <t>Jumlah anak panti asuhan dan panti jompo yang terbantu</t>
  </si>
  <si>
    <t>Program pembinaan eks penyandang penyakit sosial (eks narapidana, PSK, narkoba dan penyakit sosial lainnya)</t>
  </si>
  <si>
    <t>Jumlah Eks napi dan Penyandang Sosial lainnya</t>
  </si>
  <si>
    <t>Program Pemberdayaan Kelembagaan Kesejahteraan Sosial</t>
  </si>
  <si>
    <t>Jumlah anggota kelembagaan sosial yang diberdayakan</t>
  </si>
  <si>
    <t>Mewujudkan iklim yang kondusif bagi peningkatan ketenagakerjaan, perluasan kesempatan kerja dan penurunan angka pengangguran</t>
  </si>
  <si>
    <t>Meningkatnya keterserapan tenaga kerja</t>
  </si>
  <si>
    <t>Program Peningkatan Kualitas dan Produktivitas Tenaga Kerja</t>
  </si>
  <si>
    <t xml:space="preserve">Besaran tenaga kerja yang mendapatkan pelatihan </t>
  </si>
  <si>
    <t>Program Peningkatan Kesempatan kerja</t>
  </si>
  <si>
    <t>Persentase kasus yang diselesaikan di luar pengadilan hubungan industrial melalui Perjanjian Bersama (PB) dengan jumlah kasus yang dicatatkan</t>
  </si>
  <si>
    <t>Program Pembinaan dan Pengembangan Lembaga Ketenagakerjaan</t>
  </si>
  <si>
    <t>Banyaknya keluraga Miskin daerah bencana yang difasilitasi pemindahannya ke daerah transmigrasi</t>
  </si>
  <si>
    <t>Program Pengembangan Wilayah Transmigrasi</t>
  </si>
  <si>
    <t>KK</t>
  </si>
  <si>
    <t>Program Pengelolaan Keragaman Budaya</t>
  </si>
  <si>
    <t>Banyaknya fasilitasi pengelolaan keragaman budaya</t>
  </si>
  <si>
    <t>Program Pengelolaan Kekayaan Budaya</t>
  </si>
  <si>
    <t>Banyaknya fasilitasi pengelolaan kekayaan budaya</t>
  </si>
  <si>
    <t>Terpenuhinya Sarana prasarana untuk pelayanan administrasi perkantoran</t>
  </si>
  <si>
    <t>Pelayanan administrasi perkantoran</t>
  </si>
  <si>
    <t>Terpenuhinya  sarana prasarana pelayanan administrasi perkantorana</t>
  </si>
  <si>
    <t>Program Pelayanan Administrasi  Perkantoran</t>
  </si>
  <si>
    <t>Terpeuhinya Sarpras Pelayanan Administrasi Kantor</t>
  </si>
  <si>
    <t>Program Peningkatan Sarana dan Prasaran Aparatur</t>
  </si>
  <si>
    <t>Program peningkatan sarana prasarana aparatur</t>
  </si>
  <si>
    <t>Bertambahnya Sarana Prasarana aparatur</t>
  </si>
  <si>
    <t>Program Peningkatan Sarana dan Prasara Aparatur</t>
  </si>
  <si>
    <t>Bertambahnya Sarana dan prasarana aparatur yang memadai</t>
  </si>
  <si>
    <t>Bertambahnya sarana dan prasarana aparatur yang memadai</t>
  </si>
  <si>
    <t>Bertambahnya sarana dan prasarana kaaparatur yang memadai</t>
  </si>
  <si>
    <t>Program Pengembangan data/Informasi</t>
  </si>
  <si>
    <t>Tersedianya dokumen data perencanaan dan evaluasi pembangunan</t>
  </si>
  <si>
    <t>Program Pengembang-an data/ informasi</t>
  </si>
  <si>
    <t>Tersusunnya dokumen perencanaan dan evaluasi</t>
  </si>
  <si>
    <t>Program pengembang-an data/ informasi</t>
  </si>
  <si>
    <t>Program Pengembangan data/informasi</t>
  </si>
  <si>
    <t>Tersedianya Dokumen perencanaan, pelaporan, dan evaluasi pembangunan</t>
  </si>
  <si>
    <t>Program pengembangan data/in-formasi/statistik daerah</t>
  </si>
  <si>
    <t>Tersedianya dokumen database ketenagakerjaan dan soaial</t>
  </si>
  <si>
    <t>Program Pengembangan data/informasi/ statistik</t>
  </si>
  <si>
    <t>Tersedianya dokumen database Penanaman Modal dan  Perijinan Usaha</t>
  </si>
  <si>
    <t>Program pengembangan data statistik daerah</t>
  </si>
  <si>
    <t>Tersusunnya data statistik ketahanan pangan</t>
  </si>
  <si>
    <t>Program pengembang-an data/ informasi/statistik daerah</t>
  </si>
  <si>
    <t>Program Pengembangan data/informasi/statistik daerah</t>
  </si>
  <si>
    <t>Tersedianya Database Koperasi dan UMKM</t>
  </si>
  <si>
    <t>Program Penataan Peraturan Perundang-Undangan</t>
  </si>
  <si>
    <t>Persentase desa Siaga/Tangguh Bencana</t>
  </si>
  <si>
    <t>Program Pencegahan Dini dan Penanggulangan Korban Bencana Alam</t>
  </si>
  <si>
    <t>BPBD</t>
  </si>
  <si>
    <t xml:space="preserve">Optimalisasi penanganan bencana untuk  menjaga ketentraman masyarakat di wilayah bencana </t>
  </si>
  <si>
    <t>Berfungsinya kembali jalan dan jembatan yang rusak akibat bencana</t>
  </si>
  <si>
    <t>Program Tanggap Darurat Jalan dan Jembatan</t>
  </si>
  <si>
    <t>UNIT</t>
  </si>
  <si>
    <t>Berfungsinya kembali secara normal tebing sungai yang rusak akibat bencana</t>
  </si>
  <si>
    <t>Program Pengendalian Banjir</t>
  </si>
  <si>
    <t>Banyaknya rumah yang mendapat bantuan perbaikan pasca bencana</t>
  </si>
  <si>
    <t>Program Perbaikan Perumahan Akibat Bencana Alam/Sosial</t>
  </si>
  <si>
    <t>rumah</t>
  </si>
  <si>
    <t>Program Pelayanan dan Rehabilitasi Masalah Sosial</t>
  </si>
  <si>
    <t>Tersedianya kebutuhan penanganan masalah strategis akibat bencana dan bantuan logistik korban bencana</t>
  </si>
  <si>
    <t xml:space="preserve">Respon Time terhadap penaggulangan bencana dan kebakaran </t>
  </si>
  <si>
    <t>Program Peningkatan Kemanan dan Kenyamanan Lingkungan</t>
  </si>
  <si>
    <t>Kesiapsiagaan Pencegahan bahaya kebakaran di lokasi kelembagaan pemerintah, sekolah dan Dunia Usaha</t>
  </si>
  <si>
    <t>Program Peningkatan Kesiagaan dan Pencegahan Bahaya Kebakaran</t>
  </si>
  <si>
    <t>DPU</t>
  </si>
  <si>
    <t>Peningkatan jumlah jembatan dalam kondisi baik</t>
  </si>
  <si>
    <t xml:space="preserve">Program peningkatan jalan dan jembatan </t>
  </si>
  <si>
    <t xml:space="preserve">Terbangunnya jalan yang rusak </t>
  </si>
  <si>
    <t>km</t>
  </si>
  <si>
    <t xml:space="preserve">Terbangunnya jembatan yang rusak </t>
  </si>
  <si>
    <t>Program pembangunan jalan dan jembatan</t>
  </si>
  <si>
    <t>Program rehabilitasi/ pemeliharaan jalan dan jembatan</t>
  </si>
  <si>
    <t>panjang jalan yang terpelihara</t>
  </si>
  <si>
    <t>Program Inspeksi Kondisi jalan dan jembatan</t>
  </si>
  <si>
    <t>Program tanggap darurat jalan dan jembatan</t>
  </si>
  <si>
    <t>Program pembangunan sistem informasi/ data base jalan dan jembatan</t>
  </si>
  <si>
    <t>Program peningkatan sarana dan prasarana kebinamargaan</t>
  </si>
  <si>
    <t>Program pembangunan infrastruktur perdesaan</t>
  </si>
  <si>
    <t>terbangunnya jalan perdesaan</t>
  </si>
  <si>
    <t xml:space="preserve">Capaian gedung pemerintah dalam kondisi baik </t>
  </si>
  <si>
    <t>Program Peningkatan Sarana/Prasarana Cipta Karya</t>
  </si>
  <si>
    <t>Program pengadaan peningkatan sarana dan prasarana rumah sakit/ rumah sakit jiwa/ rumah sakit paru paru/ rumah sakit mata</t>
  </si>
  <si>
    <t>Prosentase terselesaikan-nya tambahan 1 unit bangunan rumah sakit umum daerah</t>
  </si>
  <si>
    <t>Program peningkatan sarana dan prasarana olahraga</t>
  </si>
  <si>
    <t>Program pengembangan kinerja pengelolaan air minum dan air limbah</t>
  </si>
  <si>
    <t>Persentase Penduduk berakses air minum</t>
  </si>
  <si>
    <t xml:space="preserve">Cakupan rumah layak huni </t>
  </si>
  <si>
    <t>Program pengembangan perumahan</t>
  </si>
  <si>
    <t xml:space="preserve">Persentase kesesuaian pemanfaatan ruang </t>
  </si>
  <si>
    <t>Cakupan kualitas layanan transportasi</t>
  </si>
  <si>
    <t>DISHUB</t>
  </si>
  <si>
    <t>Program Rehabilitasi dan Pemeliharaan Prasarana dan Fasilitas LLAJ</t>
  </si>
  <si>
    <t>Program peningkatan dan pengamanan lalu lintas</t>
  </si>
  <si>
    <t>Program peningkatan kelaikan pengoperasian kendaraan bermotor</t>
  </si>
  <si>
    <t>potensi</t>
  </si>
  <si>
    <t>Pogram peningkatan pelayanan angkutan</t>
  </si>
  <si>
    <t>Capaian layanan komunikasi</t>
  </si>
  <si>
    <t>Program Pengembangan Komunikasi, Informasi dan Media Massa</t>
  </si>
  <si>
    <t>Program pengkajiandan penelitian bidang informasi dan komunikasi</t>
  </si>
  <si>
    <t>Program fasilitasi Peningkatan SDM bidang komunikasi dan informasi</t>
  </si>
  <si>
    <t>SDA ESDM</t>
  </si>
  <si>
    <t>Program Pembinaan dan Pengembangan bidang Ketenagalistrikan</t>
  </si>
  <si>
    <t>Meningkatnya Jumlah dukuh berlistrik yang berkualitas</t>
  </si>
  <si>
    <t>Persentase usaha pertambangan yang menerapkan good practice minning</t>
  </si>
  <si>
    <t>Program Pengawasan dan Penertiban Kegiatan Rakyat yang Expotensi merusak lingkungan</t>
  </si>
  <si>
    <t>Berkurangnya lokasi yang beresiko bencana alam akibat gerakan tanah</t>
  </si>
  <si>
    <t>88,75</t>
  </si>
  <si>
    <t>78,75</t>
  </si>
  <si>
    <t>68,75</t>
  </si>
  <si>
    <t>58,75</t>
  </si>
  <si>
    <t>48,75</t>
  </si>
  <si>
    <t>38,75</t>
  </si>
  <si>
    <t>28,75</t>
  </si>
  <si>
    <t>Program Pengembangan Geologi dan Sumber Daya Mineral</t>
  </si>
  <si>
    <t>Meningkatnya jumlah kelompok masyarakat yang paham tentang bencana Geologi</t>
  </si>
  <si>
    <t>31,25</t>
  </si>
  <si>
    <t>37,50</t>
  </si>
  <si>
    <t>43,75</t>
  </si>
  <si>
    <t>56,25</t>
  </si>
  <si>
    <t>62,50</t>
  </si>
  <si>
    <t>Program penyediaan dan pengolahan air baku</t>
  </si>
  <si>
    <t>Terpenuhinya kebutuhan air bersih pada saat musm kemarau</t>
  </si>
  <si>
    <t>13,63</t>
  </si>
  <si>
    <t>22,73</t>
  </si>
  <si>
    <t>37,27</t>
  </si>
  <si>
    <t>45,54</t>
  </si>
  <si>
    <t>52,73</t>
  </si>
  <si>
    <t>Program Pengembangan, Pengelolaan dan konservasi sungai, Danau dan sumber Daya Air lainnya</t>
  </si>
  <si>
    <t>Tercukupinya kebutuhan air bagi masyarakat didaerah krisis air</t>
  </si>
  <si>
    <t>Indeks Kualitas Lingkungan Hidup</t>
  </si>
  <si>
    <t>KLH</t>
  </si>
  <si>
    <t>Program Pengendalian Pencemaran dan Perusakan Lingkungan Hidup</t>
  </si>
  <si>
    <t xml:space="preserve">Prosentase  Penurunan Beban Pencemaran lingkungan </t>
  </si>
  <si>
    <t xml:space="preserve">Kawasan perkotaan Kebumen dan  kawasan pendukungnya; Kecamatan Karanggayam, Klirong, Karangsambung, Kebumen, Mirit,  Alian, Puring, Rowokele, Ayah </t>
  </si>
  <si>
    <t>Program Peningkatan Pengendalian Polusi</t>
  </si>
  <si>
    <t>Persentase penurunan sumber polusi dari sumber tidak bergerak</t>
  </si>
  <si>
    <t>Kecamatan Alian,  Kebumen, Klirong, Karangsambung, Karanggayam, Karanganyar, Gombong, Prembun, Kuwarasan</t>
  </si>
  <si>
    <t>Program Rehabilitasi dan Pemulihan Cadangan Sumber Daya Alam</t>
  </si>
  <si>
    <t>Prosentase  penanganan koonservasi Sumber Daya Alam</t>
  </si>
  <si>
    <t>Program Perlindungan dan Konservasi Sumber Daya Alam</t>
  </si>
  <si>
    <t>Tersedianya profil keanekaragaman hayati</t>
  </si>
  <si>
    <t>Program Peningkatan Kualitas dan Akses Informasi Sumber Daya Alam dan Lingkungan Hidup</t>
  </si>
  <si>
    <t>Terfasilitasinya upaya akses Informasi Sumberdaya Lingkungan Hidup</t>
  </si>
  <si>
    <t>Program Pengembangan Kinerja Pengelolaan Persampahan</t>
  </si>
  <si>
    <t>Prosentase  penanganan sampah di tingkat desa/kelurahan</t>
  </si>
  <si>
    <t>Program pengelolaan Ruang Terbuka Hijau (RTH)</t>
  </si>
  <si>
    <t>Bertambahnya  Ruang Terbuka Hijau yang terbangun</t>
  </si>
  <si>
    <t>prosentase penanganan luasan permukiman kumuh</t>
  </si>
  <si>
    <t>Program Lingkungan Sehat Perumahan</t>
  </si>
  <si>
    <t xml:space="preserve">Cakupan pelayanan  sampah </t>
  </si>
  <si>
    <t>Program pengembangan kinerja pengelolaan persampah an</t>
  </si>
  <si>
    <t>Program pembangunan saluran drainase /gorong gorong</t>
  </si>
  <si>
    <t>Prosentase drainase dalam kondisi baik</t>
  </si>
  <si>
    <t>Jumlah Talud/ bronjong yang berada pada kondisi dan daya layan seharusnya</t>
  </si>
  <si>
    <t>Program rehabilitasi/ pemeliharaan talud/ bronjong</t>
  </si>
  <si>
    <t>m3</t>
  </si>
  <si>
    <t>Jumlah turap/ talud/ bronjong yang terbangun</t>
  </si>
  <si>
    <t>Program pembangunan turap/ talud/ bronjong</t>
  </si>
  <si>
    <t>Areal Pemakaman umum yang tertata</t>
  </si>
  <si>
    <t>Program pengelolaan areal pemakaman</t>
  </si>
  <si>
    <t>Bertambahnya Jumlah LPJU yang terpasang</t>
  </si>
  <si>
    <t xml:space="preserve">Program pembinaan dan pengembangan bidang ketenagalistrikan </t>
  </si>
  <si>
    <t>titik</t>
  </si>
  <si>
    <t>Fasilitas kemudahan perijinan pengembangan usaha</t>
  </si>
  <si>
    <t xml:space="preserve">Prosentase capaian pelayanan SKPD </t>
  </si>
  <si>
    <t xml:space="preserve">Program pelayanan Administrasi Perkantoran </t>
  </si>
  <si>
    <t>Terpenuhinya sarana pelayanan adminstrasi perkantoran</t>
  </si>
  <si>
    <t>Terfasilitasinya kebutuhan layanan administrasi perkantoran</t>
  </si>
  <si>
    <t>Terpenuhinya sarana pelayanan administrasi perkantoran</t>
  </si>
  <si>
    <t>Terpenuhinya kebutuhan untuk untuk Pelayanan administrasi perkantoran</t>
  </si>
  <si>
    <t>Bertambahnya sarana prasaran aparatur</t>
  </si>
  <si>
    <t xml:space="preserve">Prosentase tersedianya sarana dan prasarana aparatur </t>
  </si>
  <si>
    <t>Bertambahnya sarana prasarana aparatur dan SDM yang memadai</t>
  </si>
  <si>
    <t>Tersedianya dokumen perencanaan dan evaluasi pembangunan dibidang kebencanaan</t>
  </si>
  <si>
    <t>Program pengembangan data/ informasi/statistik daerah</t>
  </si>
  <si>
    <t>Program pengembangan data/informasi/stasistik daerah</t>
  </si>
  <si>
    <t>Program Pengembangan Data/Informasi/Statistik daerah</t>
  </si>
  <si>
    <t>Tersedianya Database Lingkungan Hidup</t>
  </si>
  <si>
    <t>Program Peningkatan Kapasitas Sumberdaya Aparatur</t>
  </si>
  <si>
    <t>Program Perencanaan tata ruang</t>
  </si>
  <si>
    <r>
      <rPr>
        <i/>
        <u/>
        <sz val="9"/>
        <rFont val="Bookman Old Style"/>
        <family val="1"/>
      </rPr>
      <t>Misi 2</t>
    </r>
    <r>
      <rPr>
        <sz val="9"/>
        <rFont val="Bookman Old Style"/>
        <family val="1"/>
      </rPr>
      <t xml:space="preserve"> : Peningkatan kesejahteraan dan perlindungan sosial masyarakat dengan melakukan pemerataan dan penyeimbangan pembangunan secara berkelanjutan untuk mengurangi kesenjangan ekonomi, sosial, politik dan budaya serta melakukan pembangunan yang bukan terfokus hanya pada aspek fisik saja tetapi juga aspek non fisik berupa pengembangan potensi intelektual, rohaniah, intuisi, kata hati, akal sehat, fitrah dan yang bersifat batin lainnya dalam bingkai kebersamaan dan sinergitas antar elemen masyarakat</t>
    </r>
  </si>
  <si>
    <r>
      <rPr>
        <i/>
        <u/>
        <sz val="9"/>
        <rFont val="Bookman Old Style"/>
        <family val="1"/>
      </rPr>
      <t>Misi 1</t>
    </r>
    <r>
      <rPr>
        <sz val="9"/>
        <rFont val="Bookman Old Style"/>
        <family val="1"/>
      </rPr>
      <t xml:space="preserve"> : Membangun sumber daya manusia yang memiliki wawasan luas, tangguh serta berkemajuan melalui pendidikan dan kesehatan yang berkualitas</t>
    </r>
  </si>
  <si>
    <t xml:space="preserve">meningkatnya kesegaran jasmani bagi PNS </t>
  </si>
  <si>
    <t>NA</t>
  </si>
  <si>
    <t>meningkatnya pemahaman sosialisasi program olah raga</t>
  </si>
  <si>
    <t>Meningkatnya Indeks Keberagamaan/ diukur dengan =   ((Persentase Penurunan Kasus Pelanggaran Norma-Norma Keagamaan) + (Persentase Prasarana Keagamaan dalam Kondisi baik)) / 2</t>
  </si>
  <si>
    <t>terwujudnya Kemitraan Pengembangan dalam penyusunan kebijakan dan pelaksanaan pembangunan bidang agama.</t>
  </si>
  <si>
    <t>meningkatnya usaha kesehatan sekolah</t>
  </si>
  <si>
    <t>meningkatnya kapasitas SDM kesos</t>
  </si>
  <si>
    <t>Meningkatnya kinerja bidang perindustrian, perdagangan, koperasi dan UMKM</t>
  </si>
  <si>
    <t>LKM</t>
  </si>
  <si>
    <t>Meningkatnya akses UMKM dan Koperasi terhadap fasilitas pembiayaan pemerintah</t>
  </si>
  <si>
    <t xml:space="preserve">Meningkatnya jumlah UMKM yang terfasilitasi mengikuti pameran </t>
  </si>
  <si>
    <t>peningkatnya partisipasi dalam kegiatan pengembangan UMKM di tingkat provinsi dan nasional</t>
  </si>
  <si>
    <t>menjamin ketersediaan , kelancaran distribusi dan pengendalian harga pupuk bersubsidi</t>
  </si>
  <si>
    <t>tercapainnya pendataan tempat ibadah, TPQ dan  madin</t>
  </si>
  <si>
    <t>terlaksananya pelaksanaan administrasi perkantoran</t>
  </si>
  <si>
    <t xml:space="preserve">meningkatnya disiplin aparatur </t>
  </si>
  <si>
    <t>tercukupinya kebutuhan rumah tangga KDH dan wakil KDH</t>
  </si>
  <si>
    <t>tersedianya pedoman standar kompetensi pegawai</t>
  </si>
  <si>
    <t xml:space="preserve">terlaksananya pengadaan barang dan jasa publik melalui ULP </t>
  </si>
  <si>
    <t>tercapainya nilai EKPPD</t>
  </si>
  <si>
    <t>tercapainya penyelenggaraan peringatan hari jadi kabupaten kebumen</t>
  </si>
  <si>
    <t>kelengkapan peraturan tentang ketatalaksanaaan, pelayanan publik  dan kinerja SKPD</t>
  </si>
  <si>
    <t>terlaksananya kegiatan pengendalian pembangunan di kabupaten pada seluruh SKPD</t>
  </si>
  <si>
    <t>tercapainya monitoring,  evaluasi dan pelaporang pembagian sesuai dengan ketentuan</t>
  </si>
  <si>
    <t>terwujudnya kerja sama informasi dengan media publik</t>
  </si>
  <si>
    <t>Meningkatnya kapasitas bakohumas</t>
  </si>
  <si>
    <t>terwujudnya penguatan media publik</t>
  </si>
  <si>
    <t>terdiseminasinya kebijakan Pemkab melalui pertemuan Bakohumas</t>
  </si>
  <si>
    <t xml:space="preserve">tercapainya pelaksanaan pemilu </t>
  </si>
  <si>
    <t>terisinya jabatan kepala desa</t>
  </si>
  <si>
    <t>Jumlah desa yang dilakukan penetapan dan penegasan batas desa</t>
  </si>
  <si>
    <t>Peningkatan kapasitas pemerintah daerah</t>
  </si>
  <si>
    <t>terkendalinya angka inflasi di kabupaten kebumen</t>
  </si>
  <si>
    <t>Terwujudnya Harmonisasi dan sinkronisasi Rancangan Produk Hukum yang sesuai dengan Peraturan Perundang-undangan, kebutuhan masyarakat dan penyelenggaraan pemerintah daerah</t>
  </si>
  <si>
    <t>SETDA</t>
  </si>
  <si>
    <r>
      <rPr>
        <i/>
        <u/>
        <sz val="9"/>
        <rFont val="Bookman Old Style"/>
        <family val="1"/>
      </rPr>
      <t xml:space="preserve">Misi 3 </t>
    </r>
    <r>
      <rPr>
        <sz val="9"/>
        <rFont val="Bookman Old Style"/>
        <family val="1"/>
      </rPr>
      <t>: Mewujudkan kemandirian ekonomi daerah yang berbasis pada pertanian dalam arti luas, industri dan pariwisata yang berdaya saing dan berkelanjutan bertumpu pada pemberdayaan masyarakat</t>
    </r>
  </si>
  <si>
    <t>Cakupan rumah layak huni</t>
  </si>
  <si>
    <t>Program Pengembangan Perumahan</t>
  </si>
  <si>
    <t>Jumlah rumah tidak layak huni yang tertangani</t>
  </si>
  <si>
    <t>Fasilitasi dan stimulasi pembangunan perumahan masyarakat kurang mampu</t>
  </si>
  <si>
    <t>Tersedianya jasa surat menyurat (bulan)</t>
  </si>
  <si>
    <t>Tersedianya jasa pemeliharaan dan perizinan kendaraan dinas/operasional (bulan)</t>
  </si>
  <si>
    <t>Tersedianya jasa administrasi keuangan (bulan)</t>
  </si>
  <si>
    <t>Tersedianya jasa kebersihan kantor  (bulan)</t>
  </si>
  <si>
    <t>Tersedianya jasa perbaikan peralatan kerja (bulan)</t>
  </si>
  <si>
    <t>Tersedianya barang cetakan dan penggandaan (bulan)</t>
  </si>
  <si>
    <t>Tersedianya komponen instalasi listrik/penerangan banguunan kantor (bulan)</t>
  </si>
  <si>
    <t>Terlaksananya rapat-rapat koordinasi dan konsultasi ke luar daerah (bulan)</t>
  </si>
  <si>
    <t>Bertambahnya sarana dan prasarana aparatur (%)</t>
  </si>
  <si>
    <t>Tersedianya kendaraan dinas operasional (unit)</t>
  </si>
  <si>
    <t xml:space="preserve">Terpenuhinya perlengkapan kantor  </t>
  </si>
  <si>
    <t>Terpenuhinya peralatan gedung kantor (unit)</t>
  </si>
  <si>
    <t>Terpeliharanya gedung kantor Bapermades (unit)</t>
  </si>
  <si>
    <t>Terpenuhinya pemeliharaan meja, kursi dan lemari arsip (paket)</t>
  </si>
  <si>
    <t>Program Peningkatan
Kapasitas Sumberdaya Aparatur</t>
  </si>
  <si>
    <t>Pendidikan dan Pelatihan Teknis Tugas dan Fungsi bagi PNS Daerah</t>
  </si>
  <si>
    <t>Terlaksananya Pendidikan dan Pelatihan Teknis Tugas dan Fungsi bagi Karyawan dan Karyawati Bapermades Kab. Kebumen</t>
  </si>
  <si>
    <t>Program pengembangan data/ informasi/ statistik daerah</t>
  </si>
  <si>
    <t>Tersusunnya database pemberdayaan masyarakat dan desa</t>
  </si>
  <si>
    <t>Penyusunan database dan profil desa/kecamatan</t>
  </si>
  <si>
    <t>Tersusunnya buku profil desa /kelurahan</t>
  </si>
  <si>
    <t>Program pengembangan data/ informasi</t>
  </si>
  <si>
    <t>Terselenggaranya Forum SKPD, tersusunnya LAKIP, Renja, RKA/DPA serta Renstra Bapermades Tahun 2016-20201</t>
  </si>
  <si>
    <t>Program peningkatan kapasitas aparatur pemerintah desa</t>
  </si>
  <si>
    <t>Pelatihan aparatur pemerintah desa dalam bidang manajemen pemerintahan desa</t>
  </si>
  <si>
    <t>Terlaksananya pelatihan bagi aparatur pemerintahan desa dan kelembagaan desa dan SID di 14 desa piloting</t>
  </si>
  <si>
    <t xml:space="preserve">Penyusunan Perbup SILTAP dan monitoring dan sosialisasi Perbup </t>
  </si>
  <si>
    <t>Fasilitasi penataan aset-aset desa</t>
  </si>
  <si>
    <t>Terlaksananya pelatihan dan fasilitasi penataan aset-aset desa</t>
  </si>
  <si>
    <t>26 Kecamatan</t>
  </si>
  <si>
    <t>Prosentase BUMDES yang terbentuk</t>
  </si>
  <si>
    <t>Program pengembangan lembaga ekonomi perdesaan</t>
  </si>
  <si>
    <t>Fasilitasi permodalan bagi usaha mikro kecil dan menengah di perdesaan</t>
  </si>
  <si>
    <t xml:space="preserve">Terlaksananya pembinaan bagi lembaga ekonomi masyarakat desa (UED-SP, CPPD, UP2K)  </t>
  </si>
  <si>
    <t>Pembinaan Pasar Desa</t>
  </si>
  <si>
    <t xml:space="preserve">Terlaksananya pembinaan terhadap pengelola pasar desa </t>
  </si>
  <si>
    <t>Sosialisasi Perda pembentukan BUMDES dan pelatihan pengelolaan BUMDES</t>
  </si>
  <si>
    <t xml:space="preserve">Terlaksananya pelatihan manajemen, inventarisasi BUMDES </t>
  </si>
  <si>
    <t xml:space="preserve">Terlaksananya  pembentukan  BUMDES </t>
  </si>
  <si>
    <t>Pelatihan Ketrampilan Manajemen Badan Usaha Milik Desa</t>
  </si>
  <si>
    <t>Terlaksananya pelatihan ketrampilan manajemen dan pengelola an badan usaha milik desa bagi  pengelola badan usaha milik desa</t>
  </si>
  <si>
    <t>Prosentase  kasus penyelenggaraan pemerintahan desa dan tanah kas desa yang terselesaikan</t>
  </si>
  <si>
    <t>Program Pengintensifan penanganan pengaduan masyarakat</t>
  </si>
  <si>
    <t>Pembentukan unit khusus penanganan pengaduan masyarakat</t>
  </si>
  <si>
    <t xml:space="preserve">Tertanganinya pengaduan masyarakat melalui Unit Pengaduan Masy. (UPM) </t>
  </si>
  <si>
    <t>Tersosialisasikannya regulasi baru terkait Pemerintah desa</t>
  </si>
  <si>
    <t>Perda</t>
  </si>
  <si>
    <t>Fasilitasi Sosialisasi peraturan perundang-undangan</t>
  </si>
  <si>
    <t>Terlaksananya sosialisasi regulasi-reguilasi terkait penyelenggaraan pemerintahan desa</t>
  </si>
  <si>
    <t>Sosialisasi peraturan perundang-undangan</t>
  </si>
  <si>
    <t>Program peningkatan partisipasi masyarakat dalam membangun desa</t>
  </si>
  <si>
    <t xml:space="preserve">Tingkat partisipasi masyarakat dalam membangun desa </t>
  </si>
  <si>
    <t>Pembinaan kelompok masyarakat pembangunan desa</t>
  </si>
  <si>
    <t>Terlaksananya pembinaan masyarakat desa tentang pengelolaan dan pemanfaatan sarana air bersih</t>
  </si>
  <si>
    <t>Kelompok BP- SPAMS</t>
  </si>
  <si>
    <t>Pemberian stimulan pembangunan desa</t>
  </si>
  <si>
    <t xml:space="preserve">Fasilitasi keg. Tentara Manunggal Membangun Desa (TMMD) Sengkuyung I dan II </t>
  </si>
  <si>
    <t>Penyelenggaraan Bulan Bhakti Gotong Royong Masyarakat (BBGRM)</t>
  </si>
  <si>
    <t xml:space="preserve">Terlaksananya kegiatan pencanangan BBGRM </t>
  </si>
  <si>
    <t>Fasilitasi Alokasi Dana Desa</t>
  </si>
  <si>
    <t>Terfasilitasinya alokasi dana-dana ke desa</t>
  </si>
  <si>
    <t>449</t>
  </si>
  <si>
    <t>Fasilitasi penguatan perencanaan pembangunan</t>
  </si>
  <si>
    <t>Terlaksananya fasilitasi penguatan perencanaan , pelaksanaan &amp; pertanggungja-waban pemba-ngunan desa</t>
  </si>
  <si>
    <t>26</t>
  </si>
  <si>
    <t>Pelaksanaan Lomba Desa</t>
  </si>
  <si>
    <t xml:space="preserve">Terselenggaranya perlombaan desa </t>
  </si>
  <si>
    <t>Belanja Operasi-onal/Bantuan Keuangan Desa Berdikari, Desa Pemula dan Desa Prakarsa (BANPROP)</t>
  </si>
  <si>
    <t xml:space="preserve">Terlaksananya fasilitasi operasional/ bantuan keuangan Desa Berdikari, desa Pemula dan desa Prakarsa </t>
  </si>
  <si>
    <t>Terfasilitasinya pembinaan Kader Pemberdayaan Masyarakat Desa (KPMD)</t>
  </si>
  <si>
    <t>Belanja Operasional/ Bantuan Keuangan Desa Berdikari, Desa Pemula dan Desa Prakarsa</t>
  </si>
  <si>
    <t>Terlaksananya pendampingan Desa Berdikari, Desa Pemula dan Desa Prakarsa</t>
  </si>
  <si>
    <t xml:space="preserve">                     </t>
  </si>
  <si>
    <t>Fasilitasi Program Pembangunan</t>
  </si>
  <si>
    <t>Terfasilitasinya pembinaan Kader Pemberdayaan Masyarakat Desa (KPMD) dan Pendamping Desa</t>
  </si>
  <si>
    <t>Program peningkatan keberdayaan masyarakat perdesaan</t>
  </si>
  <si>
    <t>Terfasilitaasinya upaya peningkatan keberdayaan masyarakat desa</t>
  </si>
  <si>
    <t>pelatihan</t>
  </si>
  <si>
    <t>Pemberdayaan Lembaga dan Organisasi Masyarakat Perdesaan</t>
  </si>
  <si>
    <t>Pembinaan lembaga kemasyarakat                                                                                                                                                                                                                                                                                                    an desa/                                                                                                                                                                                                                                                                       kelurahan</t>
  </si>
  <si>
    <t>Penyelenggara-an Pendidikan dan Pelatihan Tenaga Teknis dan Masyarakat</t>
  </si>
  <si>
    <t>Terlaksananya pelatihan Teknologi Tepat Guna (TTG), pemetaan TTG dan pengembangan potensi lokal desa</t>
  </si>
  <si>
    <t>Pengiriman ke Gelar TTG Nasional</t>
  </si>
  <si>
    <t>Pembinaan Perangkat Desa dan Linmas</t>
  </si>
  <si>
    <t>Pengendalian dan pelestarian aset hasil kegiatan PNPM</t>
  </si>
  <si>
    <t>Terlaksananya pengendalian dan pelestarian aset hasil kegiatan PNPM Mandiri Perdesaan</t>
  </si>
  <si>
    <t xml:space="preserve">Koordinasi kelembagaan pengelola aset PPK/PNPM Mandiri Perdesan </t>
  </si>
  <si>
    <t>kelembagaan</t>
  </si>
  <si>
    <t>Pengembangan dan pembinaan sosial budaya masyarakat dan adat istiadat</t>
  </si>
  <si>
    <t xml:space="preserve">Terlaksananya pengembangan dan pembinaan sosial budaya masyarakat dan adat istiadat </t>
  </si>
  <si>
    <t>Terlaksananya Gelar Budaya Tingkat Kabupaten</t>
  </si>
  <si>
    <t>Pendataan dan pengembangan adat istiadat dan budaya</t>
  </si>
  <si>
    <t>kelompok WPA</t>
  </si>
  <si>
    <t>Program peningkatan peran perempuan di perdesaan</t>
  </si>
  <si>
    <t>Bertanbahnya perempuan yang berperan di pedesaan</t>
  </si>
  <si>
    <t>Pembinaan Berbasis Gender</t>
  </si>
  <si>
    <t xml:space="preserve">Terlaksananya pembinaan tentang P2MBG bagi masyarakat desa  </t>
  </si>
  <si>
    <t>Prosentase desa yang menyusun APBDes sesuai standar</t>
  </si>
  <si>
    <t>Program pembinaan dan fasilitasi pengelolaan keuangan desa</t>
  </si>
  <si>
    <t>Evaluasi rancangan peraturan desa tentang APB Desa</t>
  </si>
  <si>
    <t>Terevaluasinya dokumen APBDesa, perubahan APBDes dan  pertanggungjawaban APBDesa</t>
  </si>
  <si>
    <t>Fasilitasi APBDes</t>
  </si>
  <si>
    <t>Terfasilitasinya APBDes dan terselenggaranya pelatihan bagi aparat kecamatan</t>
  </si>
  <si>
    <t>Monitoring, Evaluasi dan Pelaporan</t>
  </si>
  <si>
    <t>Terlaksananya monitoring, evaluasi dan laporan APBDes (Laporan semesteran, realisasi pertanggungjawaban APBDes dan laporan akhir tahun)</t>
  </si>
  <si>
    <t>Tersusunnya laporan ikhtisar APBDes</t>
  </si>
  <si>
    <t>Jumlah Dana/Anggaran</t>
  </si>
  <si>
    <t>BAPERMADES</t>
  </si>
  <si>
    <t>Angka Harapan Hidup</t>
  </si>
  <si>
    <t>Prosentase BUMD dengan predikat sehat</t>
  </si>
  <si>
    <t>Cakupan lahan Bersertifikat</t>
  </si>
  <si>
    <t>prosentase PNS dan Pegawai BUMD yang menyalurkan zakatnya melalui kelembagaan Baz</t>
  </si>
  <si>
    <t>Jumlah kunjungan wisatawan</t>
  </si>
  <si>
    <t>Terbentuknya Kawasan Perdesaan</t>
  </si>
  <si>
    <t>Penyusunan Rencana Detail Tata Ruang Kawasan</t>
  </si>
  <si>
    <t>% lembaga PNF yang terakreditasi</t>
  </si>
  <si>
    <t>Total Anggaran Dinkes</t>
  </si>
  <si>
    <t>Total Anggaran RSUD</t>
  </si>
  <si>
    <t>Total Anggaran capil</t>
  </si>
  <si>
    <t>Jumlah Anggaran BKD</t>
  </si>
  <si>
    <t>Total Anggaran BPPKB</t>
  </si>
  <si>
    <t>Jumlah Anggaran KESBANG</t>
  </si>
  <si>
    <t>Jumlah Anggaran SATPOL PP</t>
  </si>
  <si>
    <t>Total Anggaran INSPEKTORAT</t>
  </si>
  <si>
    <t>Jumlah Anggaran DPPKAD</t>
  </si>
  <si>
    <t>Total Anggaran SETWAN</t>
  </si>
  <si>
    <t>Program pembinaan dan pemasyarakatan olah raga</t>
  </si>
  <si>
    <t>Program pengembangn kebijakan dan manajemen olah raga</t>
  </si>
  <si>
    <t>Program Kemitraan Pengembangan Wawasan Kebangsaan</t>
  </si>
  <si>
    <t>Menciptakan masyarakat yang agamis dan berahlak mulia</t>
  </si>
  <si>
    <t>Program  upaya kesehatan masyarakat</t>
  </si>
  <si>
    <t>Program Pemberdayaan kelembagaan kesejahteraan sosial</t>
  </si>
  <si>
    <t>Program Penciptaan iklim Usaha Kecil Menengah yang kondusif</t>
  </si>
  <si>
    <t>Program pengembangan system pendukung usaha bagi usaha mikro kecil menengah</t>
  </si>
  <si>
    <t>Program Peningkatan Ketahanan Pangan (pertanian/ perkebunan)</t>
  </si>
  <si>
    <t>Program Penataan Peraturan Perundang-undangan</t>
  </si>
  <si>
    <t>Program Penataan kelembagaan dan peningkatan kinerja BUMD</t>
  </si>
  <si>
    <t>Program peningkatan sistem pengawasan internal dan pengendalian pelakanaan kebijakan KDH;</t>
  </si>
  <si>
    <t>Program Pelayanan administrasi perkantoran</t>
  </si>
  <si>
    <t>Program Peningkatan Pelayanan Kedinasan Kepala Daerah/Wakil Kepala Daerah</t>
  </si>
  <si>
    <t>Program Pengembangan Data Statistik/informasi/ statistik daerah;</t>
  </si>
  <si>
    <t>Program Penataan Penguasaan, Pemilikan, Penggunaan dan Pemanfaatan Tanah;</t>
  </si>
  <si>
    <t>Program Peningkatan sarana prasrana Aparatur;</t>
  </si>
  <si>
    <t>Program Pembinaan dan pengembangan aparatur</t>
  </si>
  <si>
    <t>Program Peningkatan dan pengembangan pengelolaan keuangan daerah</t>
  </si>
  <si>
    <t>Program Peningkatan Pengembangan Sistem Pelaporan Capaian Kinerja dan Keuangan</t>
  </si>
  <si>
    <t>Program Pengembangan wawasan kebangsaan</t>
  </si>
  <si>
    <t>Program Perencanaan pembangunan daerah</t>
  </si>
  <si>
    <t>Program kerjasama informasi dengan media massa</t>
  </si>
  <si>
    <t>Program fasilitasi peningkatan SDM bidang inforkom</t>
  </si>
  <si>
    <t>Program pengkajian dan penelitian bidang komunikasi dan informasi</t>
  </si>
  <si>
    <t>Program pengembangan komunikasi informasi dan media massa</t>
  </si>
  <si>
    <t>Program Peningkatan Keberdayaan Masyarakat Perdesaan</t>
  </si>
  <si>
    <t>Program Pengembangan wilayah perbatasan;</t>
  </si>
  <si>
    <t>Program peningkatan kerjasama antar pemerintah daerah</t>
  </si>
  <si>
    <t>Jumlah Anngaran SETDA</t>
  </si>
  <si>
    <t>Program Pengembangan Data/ Informasi;</t>
  </si>
  <si>
    <t>Twrsedianya data perencanaan dan evaluasi pembangunan</t>
  </si>
  <si>
    <t>KESBANGPOL</t>
  </si>
  <si>
    <t>Total Anggaran Bappeda</t>
  </si>
  <si>
    <t>: Dinas Pekerjaan Umum Kabupaten Kebumen</t>
  </si>
  <si>
    <t>Indikator kinerja program (outcome) dan kegiatan (output)</t>
  </si>
  <si>
    <t>Data Capaian pd Tahun Awal Perencanaan</t>
  </si>
  <si>
    <t>SKPD PENANGGUNGJAWAB</t>
  </si>
  <si>
    <t>Kondisi Kinerja pada akhir periode Renstra SKPD</t>
  </si>
  <si>
    <t>target</t>
  </si>
  <si>
    <t xml:space="preserve">Peningkatan  jalan </t>
  </si>
  <si>
    <t>Terbangunnya jalan dan jembatan kab di perdesaan</t>
  </si>
  <si>
    <t xml:space="preserve">Terpeliharanya jalan dan jembatan kab di perdesaan </t>
  </si>
  <si>
    <t xml:space="preserve">Terbangunnya jalan yang rusak (DAK) </t>
  </si>
  <si>
    <t>Peningkatan jembatan</t>
  </si>
  <si>
    <t xml:space="preserve">Perencanaan pembangunan jalan </t>
  </si>
  <si>
    <t xml:space="preserve">Tersedianya dokumen perencanaan teknik jalan </t>
  </si>
  <si>
    <t xml:space="preserve">Pembangunan jalan </t>
  </si>
  <si>
    <t xml:space="preserve">Terbangunnya jalan baru </t>
  </si>
  <si>
    <t>Perencanaan pembangunan jembatan</t>
  </si>
  <si>
    <t xml:space="preserve">Tersusunnya dokumen perencanaan teknik jembatan </t>
  </si>
  <si>
    <t>Pembangunan jembatan</t>
  </si>
  <si>
    <t xml:space="preserve">Terbangunnya jembatan baru </t>
  </si>
  <si>
    <t>Monitoring evaluasi dan pelaporan</t>
  </si>
  <si>
    <t xml:space="preserve">Terlaksananya monitoring evaluasi  </t>
  </si>
  <si>
    <t>Perencanaan rehabilitasi/ pemeliharaan jalan</t>
  </si>
  <si>
    <t>Perencanaan rehabilitasi/ pemeliharaan jembatan</t>
  </si>
  <si>
    <t xml:space="preserve">Tersedianya dokumen perencanaan teknik jembatan </t>
  </si>
  <si>
    <t xml:space="preserve">Rehabilitasi/   pemeliharaan jalan </t>
  </si>
  <si>
    <t>3  jemb dan 3 km</t>
  </si>
  <si>
    <t>Rehabilitasi/ pemeliharaan jembatan</t>
  </si>
  <si>
    <t xml:space="preserve">Tertanganinya kerusakan jembatan </t>
  </si>
  <si>
    <t>Pengadaan aspal / PC untuk bantuan ke tingkat desa/ kelurahan</t>
  </si>
  <si>
    <t>Pengadaan Aspal/PC</t>
  </si>
  <si>
    <t>zak</t>
  </si>
  <si>
    <t>Rehabilitasi/ pemeliharaan jalan (DAK)</t>
  </si>
  <si>
    <t xml:space="preserve">Terpeliharanya jalan </t>
  </si>
  <si>
    <t>Inspeksi kondisi jalan</t>
  </si>
  <si>
    <t>Terlaksananya inspeksi kondisi jalan</t>
  </si>
  <si>
    <t>Inspeksi kondisi jembatan</t>
  </si>
  <si>
    <t>Terlaksananya inspeksi kondisi jembatan</t>
  </si>
  <si>
    <t>Rehabilitasi jalan dalam kondisi tanggap darurat</t>
  </si>
  <si>
    <t>Tertanganinya jalan dalam kondisi tanggap darurat</t>
  </si>
  <si>
    <t>Rehabilitasi jembatan dalam kondisi tanggap darurat</t>
  </si>
  <si>
    <t>Penyusunan sistem informasi data base jalan</t>
  </si>
  <si>
    <t xml:space="preserve">Tersusunnya sistem informasi database jalan </t>
  </si>
  <si>
    <t>Penyusunan sistem informasidata base jembatan</t>
  </si>
  <si>
    <t>Pengadaan alat alat berat (8 unit)</t>
  </si>
  <si>
    <t>Pengadaan : buldoser</t>
  </si>
  <si>
    <t>walles 4 ton</t>
  </si>
  <si>
    <t>walles 7 ton</t>
  </si>
  <si>
    <t>Rehabilitasi/ pemeliharaan alat alat berat</t>
  </si>
  <si>
    <t>Terpeliharanya alat berat</t>
  </si>
  <si>
    <t>Pembangunan jalan dan jembatan perdesaan</t>
  </si>
  <si>
    <t>Pembangunan jalan dan jembatan perdesaan (DAK)</t>
  </si>
  <si>
    <t>Pembangunan gedung kantor pemerintah</t>
  </si>
  <si>
    <t xml:space="preserve">Terbangunnya gedung kantor pemerintah </t>
  </si>
  <si>
    <t xml:space="preserve">Pemeliharaan rutin/berkala gedung kantor pemerintah </t>
  </si>
  <si>
    <t xml:space="preserve">Terpeliharanya gedung kantor pemkab </t>
  </si>
  <si>
    <t>Pembangunan rumah sakit</t>
  </si>
  <si>
    <t>Terbangunnya rumah sakit prembun</t>
  </si>
  <si>
    <t>Peningkatan pembangunan sarana dan prasarana olahraga</t>
  </si>
  <si>
    <t>Revitalisasi Stadion Candradimuka dan Terbangunnya GOR baru di kabupaten Kebumen</t>
  </si>
  <si>
    <t>Perencanaan pengembangan infrastruktur</t>
  </si>
  <si>
    <t xml:space="preserve">Penyusunan dokumen perencanaan teknik bidang Cipta Karya </t>
  </si>
  <si>
    <t>Penyediaan prasarana sarana air minum bagi masyarakat berpenghasilan rendah</t>
  </si>
  <si>
    <t>Tersedianya sambungan jaringan air minum rumah penduduk dg biaya murah</t>
  </si>
  <si>
    <t xml:space="preserve">Unit </t>
  </si>
  <si>
    <t>Penyediaan prasarana dan sarana air limbah</t>
  </si>
  <si>
    <t>Terlaksananya pembangunan IPAL komunal permukiman</t>
  </si>
  <si>
    <t>Terlaksananya penyediaan sarpras air limbah dan IPLT</t>
  </si>
  <si>
    <t>Pengembangan teknologi pengolahan air minum dan air limbah</t>
  </si>
  <si>
    <t>Beroperasionalnya dan terpeliharanya IPAL Komunal Desa Kutosari dan IPLT Kaligending</t>
  </si>
  <si>
    <t>Rehabilitasi/ pemeliharaan prasarana sarana air minum</t>
  </si>
  <si>
    <t>Terpeliharanya sarana &amp; prasarana SPAM perdesaan</t>
  </si>
  <si>
    <t>Rehabilitasi/ pemeliharaan prasarana dan sarana air limbah</t>
  </si>
  <si>
    <t>Terpeliharanya sarpras IPLT</t>
  </si>
  <si>
    <t>Pembangunan  sarana dan prasarana air bersih perdesaan</t>
  </si>
  <si>
    <t xml:space="preserve">Tersedianya air bersih yang aman </t>
  </si>
  <si>
    <t>Rehabilitasi / pemeliharaan sarana dan prasarana air bersih perdesaan</t>
  </si>
  <si>
    <t>Pembangunan sarana dan prasarana rumah sederhana sehat (DAK)</t>
  </si>
  <si>
    <t>Terlaksananya pembangunan sarpras rumah sederhana sehat</t>
  </si>
  <si>
    <t>Penataan lingkungan pemukiman penduduk perdesaan</t>
  </si>
  <si>
    <t>Tertatanya lingkungan perdesaan</t>
  </si>
  <si>
    <t>Pengawasan pemanfaatan ruang</t>
  </si>
  <si>
    <t>Terlayaninya pemohon IMB untuk pengawasan pemanfaatan ruang</t>
  </si>
  <si>
    <t>Penyusunan program pengembangan RTH</t>
  </si>
  <si>
    <t xml:space="preserve">Tersedianya dokumen perencanaan penataan (RTH), </t>
  </si>
  <si>
    <t>Penataan RTH</t>
  </si>
  <si>
    <t xml:space="preserve">Terbangunnya RTH </t>
  </si>
  <si>
    <t>Pemeliharaan RTH</t>
  </si>
  <si>
    <t>Terpeliharanya RTH</t>
  </si>
  <si>
    <t>Penanganan Kawasan Kumuh Perkotaan</t>
  </si>
  <si>
    <t>luasan permukiman kumuh yang tertangani</t>
  </si>
  <si>
    <t>Penyediaan prasarana dan sarana pengelolaan persampahan</t>
  </si>
  <si>
    <t>Pengadaan : viar</t>
  </si>
  <si>
    <t>buldozer</t>
  </si>
  <si>
    <t>Dump truk</t>
  </si>
  <si>
    <t>arm roll</t>
  </si>
  <si>
    <t>Peningkatan operasional dan pemeliharaan prasarana dan sarana persampahan</t>
  </si>
  <si>
    <t xml:space="preserve">Tersedianya dana untuk pemeliharaan kendaraan operasional dan sarpras persampahan </t>
  </si>
  <si>
    <t>bln</t>
  </si>
  <si>
    <t>Peningkatan kemampuan aparat pengelola persampahan</t>
  </si>
  <si>
    <t xml:space="preserve">Meningkat nya kemam puan aparat pengelola persampahan  </t>
  </si>
  <si>
    <t>Pembangunan saluran drainase/ gorong gorong</t>
  </si>
  <si>
    <t xml:space="preserve">Terbangunnya saluran drainase/ gorong gorong </t>
  </si>
  <si>
    <t>Rehabilitasi /pemelihara-an saluran drainase/ gorong gorong</t>
  </si>
  <si>
    <t xml:space="preserve">terpeliharanya saluran drainase/ gorong gorong </t>
  </si>
  <si>
    <t>Perencanaan rehabilitasi/ pemeliharaan talud/ bronjong</t>
  </si>
  <si>
    <t>Tersedianya dokumen perencanaan teknik rehabilitasi talud/ bronjong</t>
  </si>
  <si>
    <t>Rehabilitasi/ pemeliharaan talud/ bronjong</t>
  </si>
  <si>
    <t>Tertanganinya kerusakan talud/ bronjong</t>
  </si>
  <si>
    <t>Perencanaan turap/ talud/ bronjong</t>
  </si>
  <si>
    <t>Tersedianya dok perenc turap/ talud/ bronjong</t>
  </si>
  <si>
    <t>Pembangunan turap/ talud/ bronjong</t>
  </si>
  <si>
    <t>Terbangunnya turap/ talud/ bronjong pengaman jalan dan jembatan</t>
  </si>
  <si>
    <t>Pembangunan sarana dan prasarana pemakaman</t>
  </si>
  <si>
    <t>Terbangunnya sarpras pemakaman</t>
  </si>
  <si>
    <t>Pemeliharaan sarana dan prasarana pemakaman</t>
  </si>
  <si>
    <t>Terpeliharanya sarpras pemakaman</t>
  </si>
  <si>
    <t>Peningkatan manajemen aset/ barang daerah</t>
  </si>
  <si>
    <t>Penyusunan laporan aset semesteran dan prognosis</t>
  </si>
  <si>
    <t>Pengamanan aset/ barang milik daerah</t>
  </si>
  <si>
    <t>Penyusunan dokumen pertanahan</t>
  </si>
  <si>
    <t>Lampu penerangan jalan umum kabupaten kebumen</t>
  </si>
  <si>
    <t xml:space="preserve">Terbayarnya rekening listrik LPJU </t>
  </si>
  <si>
    <t>Pengembangan/ perluasan jaringan listrik perdesaan (BANPROV)</t>
  </si>
  <si>
    <t>Terpasangnya jaringan LPJU perdesaan</t>
  </si>
  <si>
    <t>Terlaksanya proses rekomendasi penerbitan IUJK untuk pemohon</t>
  </si>
  <si>
    <t xml:space="preserve">Penyediaan jasa surat menyurat </t>
  </si>
  <si>
    <t>Terkirimnya surat dan tersedianya benda benda POS (bln)</t>
  </si>
  <si>
    <t xml:space="preserve">Penyediaan jasa komunikasi, sumber daya air dan listrik </t>
  </si>
  <si>
    <t>Terlaksananya pembayaran rekening listrik, air dan telepon (bln)</t>
  </si>
  <si>
    <t xml:space="preserve">Penyediaan jasa pemeliharaan dan perijinan kendaraan dinas/ operasional </t>
  </si>
  <si>
    <t>Terlaksananya perbaikan/ pemeliharaan kendaraan dinas operasional persampahan, BBM dan jasa KIR serta STNK (bln)</t>
  </si>
  <si>
    <t xml:space="preserve">Penyediaan jasa administrasi keuangan </t>
  </si>
  <si>
    <t>Terlaksananya pembayaran honor pengelola kegiatan (bln)</t>
  </si>
  <si>
    <t xml:space="preserve">Penyediaan jasa kebersihan kantor </t>
  </si>
  <si>
    <t>Tersedianya alat pembersih dan bahan pembersih (bln)</t>
  </si>
  <si>
    <t xml:space="preserve">Penyediaan jasa perbaikan peralatan kerja </t>
  </si>
  <si>
    <t>Terlaksananya perbaikan peralatan kerja meliputi AC, komputer / laptop, sound (bln)</t>
  </si>
  <si>
    <t>Tersedianya alat tulis kantor (bln)</t>
  </si>
  <si>
    <t> Penyediaan barang cetakan dan penggandaan</t>
  </si>
  <si>
    <t>Tersedianya barang cetakan, penggandaan, copy dll.(bln)</t>
  </si>
  <si>
    <t>Penyediaan komponen instalasi listrik/ penerangan bangunan kantor</t>
  </si>
  <si>
    <t>Tersedianya komponen instalasi listrik/ penerangan (bln)</t>
  </si>
  <si>
    <t>Penyediaan bahan bacaan dan perundang undangan</t>
  </si>
  <si>
    <t>Terbayarnya biaya langganan surat kabar (bln)</t>
  </si>
  <si>
    <t xml:space="preserve">Penyediaan makanan dan minuman </t>
  </si>
  <si>
    <t>Jamuan rapat dan tamu (bln)</t>
  </si>
  <si>
    <t>Rapat rapat koordinasi dan konsultasi ke luar daerah</t>
  </si>
  <si>
    <t>Biaya perjalanan dinas luar daerah (bln)</t>
  </si>
  <si>
    <t>Honor seluruh pegawai tidak tetap (bln)</t>
  </si>
  <si>
    <t>Rapat rapat koordinasi dan konsultasi dalam daerah</t>
  </si>
  <si>
    <t>Biaya perjalanan dinas dalam daerah (bln)</t>
  </si>
  <si>
    <t xml:space="preserve">Pembangunan gedung kantor </t>
  </si>
  <si>
    <t>Terbangunnya gedung perkantoran (unit)</t>
  </si>
  <si>
    <t xml:space="preserve">Pengadaan perlengkapan gedung kantor </t>
  </si>
  <si>
    <t>Terlaksananya pengadaan perlengkapan kantor (paket)</t>
  </si>
  <si>
    <t>Pengadaan kendaraan dinas/ operasional</t>
  </si>
  <si>
    <t>Tersedianya kendaraan dinas/ operasional (unit)</t>
  </si>
  <si>
    <t xml:space="preserve">Pengadaan tanah </t>
  </si>
  <si>
    <t>Tersedianya tanah untuk pembangunan (lokasi)</t>
  </si>
  <si>
    <t xml:space="preserve">Pemeliharaan rutin/berkala gedung kantor </t>
  </si>
  <si>
    <t>Terpeliharanya gedung kantor pemkab Kebumen (unit)</t>
  </si>
  <si>
    <t>Pemeliharaan rutin/ berkala meubeler</t>
  </si>
  <si>
    <t>Terpeliharanya meubeler (bln)</t>
  </si>
  <si>
    <t xml:space="preserve">Pengadaan pakaian kerja lapangan </t>
  </si>
  <si>
    <t>Pengadaan pakaian kerja lapangan</t>
  </si>
  <si>
    <t>Tersusunnya LAKIP, Renja, RKA/DPA Tahun 2016 serta Renstra dll</t>
  </si>
  <si>
    <t>Tersusunnya database infrastruktur</t>
  </si>
  <si>
    <t xml:space="preserve"> TOTAL ANGGARAN </t>
  </si>
  <si>
    <t>Perencanaan pembangunan jaringan irigasi</t>
  </si>
  <si>
    <t>Tersusunnya dokumen DED Jaringan irigasi dan sungai (paket)</t>
  </si>
  <si>
    <t xml:space="preserve">Penyusunan masterplan Jaringan irigasi </t>
  </si>
  <si>
    <t>Tersusunnya masterplan Jaringan irigasi (paket)</t>
  </si>
  <si>
    <t>Perencanaan pembangunan jaringan sungai</t>
  </si>
  <si>
    <t>Tersusunnya dokumen DED Jaringan sungai (paket)</t>
  </si>
  <si>
    <t>Rehabilitasi/Pemeliharaan Jaringan Irigasi</t>
  </si>
  <si>
    <t>Terbangunnya Jaringan irigasi kondisi baik (Unit)</t>
  </si>
  <si>
    <t>Monitoring Evaluasi dan Pelaporan</t>
  </si>
  <si>
    <t xml:space="preserve">Terawasinya pelaksanaan kegiatan Dinas SDA-ESDM (kegiatan) </t>
  </si>
  <si>
    <t>Operasi dan Pemeliharaan  Sungai</t>
  </si>
  <si>
    <t>Terehabilitasinya fungsi jaringan Sungai kondisi baik (paket)</t>
  </si>
  <si>
    <t>Operasi dan Pemeliharaan Jaringan Irigasi</t>
  </si>
  <si>
    <t>Optimalnya fungsi jaringan irigasi kondisi baik (%)</t>
  </si>
  <si>
    <t>Pengembangan /Perluasan Jaringan Listrik Pedesaan</t>
  </si>
  <si>
    <t xml:space="preserve">Terlaksananya kegiatan pemasangan jaringan listrik di pedesaan </t>
  </si>
  <si>
    <t>Perencanaan Jaringan listrik pedesaan</t>
  </si>
  <si>
    <t>Tersusunnya Dokumen DED Jarlisdes (Dokumen)</t>
  </si>
  <si>
    <t>Optimalisasi fungsi jaringan Sungai kondisi baik (paket)</t>
  </si>
  <si>
    <t>Rehabilitasi dan Pemeliharaan bantaran Dan tanggul sungai</t>
  </si>
  <si>
    <t>Terbangunnya bantaran dan tanggul sungai (lokasi)</t>
  </si>
  <si>
    <t>Pengendalian banjir pada daerah tangkapan air dan badan-badan sungai</t>
  </si>
  <si>
    <t>Terbangunnya Groundsill</t>
  </si>
  <si>
    <t>Normalisasi/Pembangunan Jaringan Drainase</t>
  </si>
  <si>
    <t>Optimalnya fungsi jaringan drainase kondisi baik</t>
  </si>
  <si>
    <t>Operasi dan Pemeliharaan Muara dan Pantai</t>
  </si>
  <si>
    <t>Optimalnya fungsi pantai muara sungai kondisi baik</t>
  </si>
  <si>
    <t>Rehabilitasi dan Pemeliharaan Pantai dan Muara sungai</t>
  </si>
  <si>
    <t>Terbangunnya pantai muara sungai</t>
  </si>
  <si>
    <t>Pengawasan penertiban kegiatan pertambangan rakyat</t>
  </si>
  <si>
    <t>Terlaksananya pengawasan dan penertiban pertambangan rakyat</t>
  </si>
  <si>
    <t>Monitoring, evaluasi dan pelaporan dampak kerusakan lingkungan akibat kegiatan pertambangan rakyat</t>
  </si>
  <si>
    <t>Terlaksananya Monev dampak kerusakan lingkungan akibat pertambangan rakyat</t>
  </si>
  <si>
    <t xml:space="preserve">Pembangunan  Turap / Talud/ Bronjong </t>
  </si>
  <si>
    <t>Terbangunnya Turap / Talud/ Bronjong</t>
  </si>
  <si>
    <t>Pemantauan dan Sosialisasi Bencana Geologi</t>
  </si>
  <si>
    <t>Pokmas/ lokasi</t>
  </si>
  <si>
    <t>Penguatan lereng pada lokasi tanah longsor</t>
  </si>
  <si>
    <t>Terlaksananya pembangunan  Turap / Talud/ Bronjong (lokasi)</t>
  </si>
  <si>
    <t>Pemetaan Air Bawah Tanah</t>
  </si>
  <si>
    <t>Penyelidikan potensi air bawah tanah</t>
  </si>
  <si>
    <t>Pembangunan sumur-sumur air tanah</t>
  </si>
  <si>
    <t>Penyediaan air bersih melalui pembangunan sumur bor</t>
  </si>
  <si>
    <t>Sosialisasi tentang Pengelolaan dan Pemanfaatan Air Bawah Tanah</t>
  </si>
  <si>
    <t>Sosialisasi tentang Air Bawah Tanah</t>
  </si>
  <si>
    <t>Pembangunan dan Pemeliharaan Embung</t>
  </si>
  <si>
    <t>Terbangunnya Embung (lokasi)</t>
  </si>
  <si>
    <t>Penyediaan Jasa Surat menyurat</t>
  </si>
  <si>
    <t>Penyediaan Jasa Komunikasi Sumber daya Air dan Listrik</t>
  </si>
  <si>
    <t>Tersedianya jasa komunikasi, sumber daya air dan listrik</t>
  </si>
  <si>
    <t>Penyediaan jasa pemel. dan perijinan  kend. dinas / operasional</t>
  </si>
  <si>
    <t xml:space="preserve">Tersedianya jasa pemeliharaan dan perizinan kendaraan dinas/operasional </t>
  </si>
  <si>
    <t>Penyediaan Jasa Administrasi Keungan</t>
  </si>
  <si>
    <t xml:space="preserve">Tersedianya honor PPT </t>
  </si>
  <si>
    <t>Penyediaan Jasa kebersihan kantor</t>
  </si>
  <si>
    <t xml:space="preserve">Tersedianya jasa kebersihan kantor  </t>
  </si>
  <si>
    <t>Penyediaan Jasa perbaikan peralatan kerja</t>
  </si>
  <si>
    <t xml:space="preserve">Tersedianya jasa perbaikan peralatan kerja </t>
  </si>
  <si>
    <t>Penyediaan Alat Tulis Kantor (ATK)</t>
  </si>
  <si>
    <t xml:space="preserve">Tersedianya alat tulis kantor </t>
  </si>
  <si>
    <t>Penyediaan Barang cetakan dan penggandaan</t>
  </si>
  <si>
    <t>Penyediaan komponen Instalasi listrik / penerangan bangunan gedung</t>
  </si>
  <si>
    <t xml:space="preserve">Tersedianya komponen instalasi listrik/penerangan banguunan kantor </t>
  </si>
  <si>
    <t xml:space="preserve">Tersedianya bahan bacaan dan perundangan-undangan </t>
  </si>
  <si>
    <t xml:space="preserve">Tersedianya makanan dan minuman </t>
  </si>
  <si>
    <t>Tersedianya honorarium PTT Dinas</t>
  </si>
  <si>
    <t>Rapat-rapat koordinasi dan konsultasi ke dalam  daerah</t>
  </si>
  <si>
    <t xml:space="preserve">Terlaksananya rapat-rapat koordinasi dan konsultasi dalam daerah </t>
  </si>
  <si>
    <t>Bertambahnya kendaraan dinas operasional Mobil dan Roda 2</t>
  </si>
  <si>
    <t>- mobil</t>
  </si>
  <si>
    <t>- sepeda motor</t>
  </si>
  <si>
    <t>Pengadaan  mebeleur kantor</t>
  </si>
  <si>
    <t>Bertambahnya mebeleur kantor</t>
  </si>
  <si>
    <t>- Meja rapat</t>
  </si>
  <si>
    <t>- Meja kerja</t>
  </si>
  <si>
    <t>- Kursi</t>
  </si>
  <si>
    <t>- Almari</t>
  </si>
  <si>
    <t xml:space="preserve">Pengadaan  sarana prasarana kantor </t>
  </si>
  <si>
    <t xml:space="preserve">Bertabahnya sarana prasarana kantor </t>
  </si>
  <si>
    <t>- AC 1/2 Pk</t>
  </si>
  <si>
    <t>- Rak Sound System</t>
  </si>
  <si>
    <t>- Gorden</t>
  </si>
  <si>
    <t>- Printer</t>
  </si>
  <si>
    <t>- PC</t>
  </si>
  <si>
    <t>- Televisi R tamu</t>
  </si>
  <si>
    <t>- Antena Parabola</t>
  </si>
  <si>
    <t>- LCD</t>
  </si>
  <si>
    <t>- Tambah daya (Kwh)</t>
  </si>
  <si>
    <t>Kwh</t>
  </si>
  <si>
    <t>Pemeliharaan Rutin/Berkala Gedung kantor</t>
  </si>
  <si>
    <t>Prosentase Terpeliharanya gedung kantor dinas dan uptd</t>
  </si>
  <si>
    <t>Penyusunan Bank Data Dinas</t>
  </si>
  <si>
    <t xml:space="preserve">Tersusunnya Database SDA-ESDM
</t>
  </si>
  <si>
    <t xml:space="preserve">Penyusunan dan Pengumpulan Data / Informasi Kebutuhan Penyusunan Dokumen Perencanaan </t>
  </si>
  <si>
    <t>Tersusunnya LAKIP, LPPD, Rncana Kerja, LKPJ, Indeks Harga Satuan Konstruksi dan Rencana Strategis</t>
  </si>
  <si>
    <t>Penyusunan Rencana Teknis ruang kawasan</t>
  </si>
  <si>
    <t xml:space="preserve">Tersusunnya Buku RT RK SDM
</t>
  </si>
  <si>
    <t>JUMLAH</t>
  </si>
  <si>
    <t>Rehabilitasi/pemeliharaan sarana alat pengujian kendaraan bermotor</t>
  </si>
  <si>
    <t>Terpeliharanya alat pengujian kendaraan bermotor</t>
  </si>
  <si>
    <t>Rehabilitasi/pemeliharaan terminal/pelabuhan</t>
  </si>
  <si>
    <t>Terpeliharanya terminal</t>
  </si>
  <si>
    <t>Rehabilitasi /Pemeliharaan prasarana balai pengujian kendaraan bermotor</t>
  </si>
  <si>
    <t>Terpenuhinya ruang tunggu pengujian kendaraan bermotor</t>
  </si>
  <si>
    <t>Pemeliharaan rambu-rambu lalu lintas</t>
  </si>
  <si>
    <t>Terpeliharanya rambu-rambu lalu lintas</t>
  </si>
  <si>
    <t>Pengadaan rambu-rambu lalu lintas</t>
  </si>
  <si>
    <t>Terpenuhinya RRLL di Kab.Kebumen</t>
  </si>
  <si>
    <t>Pengadaan marka jalan</t>
  </si>
  <si>
    <t>Terpenuhinya marka jalan di Kab.Kebumen</t>
  </si>
  <si>
    <t>meter2</t>
  </si>
  <si>
    <t>Pengadaan pagar pengaman jalan</t>
  </si>
  <si>
    <t>Terpenuhinya pagar pengaman jalan</t>
  </si>
  <si>
    <t>Koordinasi Lintas Sektoral Penanganan Masalah Lalu Lintas</t>
  </si>
  <si>
    <t>Terlaksananya Koordinasi Lintas Sektoral Penanganan Masalah Lalu Lintas(Forum LLAJ,Sosialisasi Keselamatan LL Kesekolah,Sosialisasi Keselamatan LL  Pemilihan pelajar pelopor)</t>
  </si>
  <si>
    <t>Pengadaan Traffic Light, Warming Lamp, Papan Nama Jalan</t>
  </si>
  <si>
    <t>Terpenuhinya Traffic Light, Warming Lamp</t>
  </si>
  <si>
    <t>Operasi laik jalan</t>
  </si>
  <si>
    <t>Terlaksananya Operasi Laik Jalan</t>
  </si>
  <si>
    <t>Operasi ketertiban dan pengendalian arus lalu lintas</t>
  </si>
  <si>
    <t>Terlaksananya operasi ketertiban dan kelancaran  lalu lintas.</t>
  </si>
  <si>
    <t>Pengadaan sarana dan prasarana pengaman lalu lintas</t>
  </si>
  <si>
    <t xml:space="preserve">Terpenuhinya sarana dan prasarana pengaman lalu lintas </t>
  </si>
  <si>
    <t>Pengendalian dan pengelolaan parkir</t>
  </si>
  <si>
    <t>Terselenggaranya Pengendalian dan pengelolaan parkir</t>
  </si>
  <si>
    <t>Kajian manajemendan rekayasa lalu lintas</t>
  </si>
  <si>
    <t xml:space="preserve">Terlaksananya Kajian manajemen dan rekayasa lalu lintas kawasan perkotaan Kebumen dan terpecahkannya masalah transportasi yang ada di Kebumen - (Tingkat pelayanan ruas jalan kabupaten, asal tujuan pergerakan perjalanan, tingkat pelayanan simpang bersinyal dan tidak bersinyal  Kebumen Kota, keselamatan lalu lintas kebumen </t>
  </si>
  <si>
    <t>kajian</t>
  </si>
  <si>
    <t>Pengendalian dan pengelolaan fasilitas pendukung keselamatan lalu lintas</t>
  </si>
  <si>
    <t>Terlaksanaan perlintasan sebidang oleh petugas pos jaga</t>
  </si>
  <si>
    <t>Pengadaan sarana dan prasarana fasilitas pendukung keselamatan lalu lintas</t>
  </si>
  <si>
    <t>Terpenuhinya sarana dan prasarana pengaman lalu lintas di perlintasan sebidang</t>
  </si>
  <si>
    <t>Pengadaan alat pengujian kendaraan bermotor</t>
  </si>
  <si>
    <t>Terpenuhinya  alat pengujian kendaraan bermotor</t>
  </si>
  <si>
    <t>Intensifikasi dan ekstensifikasi sumber-sumber pendapatan daerah</t>
  </si>
  <si>
    <t>Terlaksananya Intensifikasi dan ekstensifikasi sumber-sumber pendapatan daerah</t>
  </si>
  <si>
    <t>Kegiatan pengendalian disiplin pengoperasian angkutan umum dijalan raya</t>
  </si>
  <si>
    <t xml:space="preserve">Terfasilitasinyaa pengendalian disiplin pengoperasian angkutan umum dijalan raya(12 kegiatan dengan pemasangan stiker masing2 rute angkutan </t>
  </si>
  <si>
    <t>Kegiatan penataan tempat-tempat pemberhentian angkutan umum</t>
  </si>
  <si>
    <t>Terpeliharanya halte di Kab.Kebumen</t>
  </si>
  <si>
    <t>Pengembangan sarana dan prasarana pelayanan jasa angkutan</t>
  </si>
  <si>
    <t>Tersedianya sarana terminal Type C sebagai akses dibukanya jalur Banjarkebuka</t>
  </si>
  <si>
    <t>Sosialisasi/penyuluhan ketertiban lalu lintas dan angkutan</t>
  </si>
  <si>
    <t>Terlaksananya sosialisasi/penyuluhan ketertiban lalu lintas dan angkutan</t>
  </si>
  <si>
    <t>Posko Angkutan Lebaran,Natal dan Tahun Baru</t>
  </si>
  <si>
    <t>Terlaksananya Posko Angkutan Lebaran,Natal dan Tahun Baru</t>
  </si>
  <si>
    <t>Kegiatan penciptaan pelayanan cepat,tepat,murah dan mudah</t>
  </si>
  <si>
    <t>Terlaksananya angkutan gratis bagi pelajar miskin dan warga miskin di 26 Kecamatan</t>
  </si>
  <si>
    <t>Penyusunan kebijakan, norma, standar dan prosedur bidang perhubungan</t>
  </si>
  <si>
    <t>Tersusunnya Raperda</t>
  </si>
  <si>
    <t>Pembinaan dan Pengembangan Jaringan Komunikasi dan Informasi</t>
  </si>
  <si>
    <t>Terpenuhinya fasilitas pengadaan barang jasa secara elektronik(LPSE)</t>
  </si>
  <si>
    <t>Pembinaan dan pengembangan sumber daya komunikasi dan informasi</t>
  </si>
  <si>
    <t xml:space="preserve">Terlaksananya Pembinaan dan pengembangan sumber daya komunikasi dan informasi </t>
  </si>
  <si>
    <t>Pengkajian dan pengembangan sistem informasi</t>
  </si>
  <si>
    <t>Website kebumen terapdate dan infrastruktur sistem jaringan on line Kebumen dapat beroperasi dengan normal dan pemeliharaan jaringan.</t>
  </si>
  <si>
    <t>Pengkajiandan penelitian bidang informasi dan komunikasi</t>
  </si>
  <si>
    <t xml:space="preserve">Tercukupinya kegiatan pengendalian dan pengawasan menara telekomunikasi se Kab.Kebumen </t>
  </si>
  <si>
    <t>menara</t>
  </si>
  <si>
    <t>Pelatihan SDM dalam bidang komunikasi dan informasi</t>
  </si>
  <si>
    <t>Terlaksananya Pelatihan SDM dalam bidang komunikasi dan informasi</t>
  </si>
  <si>
    <t>satker</t>
  </si>
  <si>
    <t>Terpenuhinya jasa surat menyurat</t>
  </si>
  <si>
    <t>Penyediaan jasa komunikasi, sumber daya air, dan listrik</t>
  </si>
  <si>
    <t>Terpenuhinya biaya komunikasi, sumber daya air dan listrik</t>
  </si>
  <si>
    <t>Terpenuhinya biaya pemeliharaan dan perizinan kendaraan dinas/operasional</t>
  </si>
  <si>
    <t>Terpenuhinya jasa administrasi keuangan</t>
  </si>
  <si>
    <t>Terpenuhinya jasa kebersihan kantor</t>
  </si>
  <si>
    <t>Tersedianya biaya perbaikan peralatan kerja</t>
  </si>
  <si>
    <t>Terpenuhinya bahan bacaan dan peraturan perundang-undangan</t>
  </si>
  <si>
    <t>Terpenuhinya jamuan makan minum rapat</t>
  </si>
  <si>
    <t>Terpenuhinya biaya Rapat-rapat koordinasi dan konsultasi ke luar daerah</t>
  </si>
  <si>
    <t>Terpenuhinya honor PTT</t>
  </si>
  <si>
    <t>Rapat-Rapat Koordinasi dan Konsultasi Dalam Daerah</t>
  </si>
  <si>
    <t>Terpenuhinya biaya Rapat-Rapat Koordinasi dan Konsultasi Dalam Daerah</t>
  </si>
  <si>
    <t>Tersedianya sound system</t>
  </si>
  <si>
    <t>Running text</t>
  </si>
  <si>
    <t>Soun system</t>
  </si>
  <si>
    <t>......................</t>
  </si>
  <si>
    <t>.......................</t>
  </si>
  <si>
    <t>Komputer desktop</t>
  </si>
  <si>
    <t>printer</t>
  </si>
  <si>
    <t>kamera</t>
  </si>
  <si>
    <t>LCD TV</t>
  </si>
  <si>
    <t xml:space="preserve"> sofa</t>
  </si>
  <si>
    <t>kursi rapat</t>
  </si>
  <si>
    <t>meja rapat</t>
  </si>
  <si>
    <t>meja eselon II</t>
  </si>
  <si>
    <t>Terpenuhinya Pemeliharaan rutin/berkala gedung kantor</t>
  </si>
  <si>
    <t>Terpenuhinya Pemeliharaan rutin/berkala mebeleur</t>
  </si>
  <si>
    <t>Penyusunan dan pengumpulan data/informasi kebutuhan penyusunan dok.perencanaan</t>
  </si>
  <si>
    <t>Penyusunan Renstra,Renja,Lakip,LKPJ,LPPD</t>
  </si>
  <si>
    <t>Tersusunnya database perhubungan, komunikasi dan informatika semesteran</t>
  </si>
  <si>
    <t xml:space="preserve">Terlaksananya Sosialisasi Perda PB &amp; Kebakaran </t>
  </si>
  <si>
    <t>Pengadaan sarana dan prasarana evakuasi penduduk dari ancaman/ korban bencana alam</t>
  </si>
  <si>
    <t>tersedianya sarparas penyelamatan korban bencana dan perlindungan diri</t>
  </si>
  <si>
    <t xml:space="preserve">Pelatihan bagi aparat/SAR dalam penanganan bencana alam  </t>
  </si>
  <si>
    <t>Terlaksananya pelatihan Assasment kerugian akibat bencana</t>
  </si>
  <si>
    <t>Penyusunan Peta Resiko Rawan Bencana</t>
  </si>
  <si>
    <t>Tesedianya Data Peta kecamatan resiko rawan bencana</t>
  </si>
  <si>
    <t>peta</t>
  </si>
  <si>
    <t>Droping air bersih</t>
  </si>
  <si>
    <t>Terpenuhinya kebutuhan air bersih di daerah rawan kekeringan</t>
  </si>
  <si>
    <t>tangki</t>
  </si>
  <si>
    <t>Pelatihan Penanggulangan Bencana</t>
  </si>
  <si>
    <t>Terlaksananya DRILL Penanggulangan bencana</t>
  </si>
  <si>
    <t>pembentukan ds tangguh bencana</t>
  </si>
  <si>
    <t>Meningkatnya kesadaran dan kemandirian ds dalam penanggulangan bencana.</t>
  </si>
  <si>
    <t>Sekolah Aman Bencana</t>
  </si>
  <si>
    <t>Terciptanya pemahaman kebencanaan secara dini</t>
  </si>
  <si>
    <t>Pelatihan recovery mental</t>
  </si>
  <si>
    <t>Meningkatnya kemampuan relawan dalam pemulihan mental pasca bencana</t>
  </si>
  <si>
    <t>Pengurangan Risiko Bencana Berbasis Komunitas</t>
  </si>
  <si>
    <t xml:space="preserve">Tumbuhnya kesadaran masyarakat akan pentingnya pengurangan resiko bencana dalam </t>
  </si>
  <si>
    <t>pokmas</t>
  </si>
  <si>
    <t>Penyusunan Rencana Penanggulangan Bencana ( RPB )</t>
  </si>
  <si>
    <t>Tersusunnya Dokumen RPB periode 4 tahunan</t>
  </si>
  <si>
    <t>penyusunan rencana kontingensi bencana</t>
  </si>
  <si>
    <t>Tersusunnya Rencana Kontingensi Penanggulangan Bencana</t>
  </si>
  <si>
    <t>Fasilitasi Forum Pengurangan Risiko Bencana (PRB)</t>
  </si>
  <si>
    <t xml:space="preserve">Terlaksananya koordinasi PRB antar lembaga/skpd terkait bencana </t>
  </si>
  <si>
    <t xml:space="preserve">Fasilitasi Relawan Penanggulangan Bencana </t>
  </si>
  <si>
    <t>Terlaksananya koordinasi antar Relawan Penanggulangan Bencana</t>
  </si>
  <si>
    <t>Penanganan infrastruktur jalan dan jembatan pasca bencana alam</t>
  </si>
  <si>
    <t>Terlaksananya rehabilitasi dan rekonstruksi jalan dan pascabencana</t>
  </si>
  <si>
    <t>Pembangunan Infrastruktur pengairan pasca bencana alam</t>
  </si>
  <si>
    <t>Terlaksananya rehabilitasi dan rekonstruksi tebing Sungai pascabencana</t>
  </si>
  <si>
    <t>Fasilitasi dan stimulasi rehabilitasi rumah akibat bencana alam</t>
  </si>
  <si>
    <t xml:space="preserve">Terlaksananya pemberian bantuan material perbaikan rumah akibat bencana </t>
  </si>
  <si>
    <r>
      <t xml:space="preserve">penanganan masalah-masalah strategis yang menyangkut tanggap cepat darurat dan kejadian luar biasa  </t>
    </r>
    <r>
      <rPr>
        <i/>
        <sz val="9"/>
        <rFont val="Bookman Old Style"/>
        <family val="1"/>
      </rPr>
      <t xml:space="preserve"> </t>
    </r>
  </si>
  <si>
    <t>tersedianya kebutuhan penanganan masalah strategis dan tanggap darurat bencana</t>
  </si>
  <si>
    <t xml:space="preserve">Penyedian bantuan logistik bagi korban bencana alam/kebakaran dan penanganannya </t>
  </si>
  <si>
    <t>Tersedianya kebutuhan bantuan logistik bagi korban bencana alam dan kebakaran serta logistik kerjabakti penangan bencana</t>
  </si>
  <si>
    <t>Penyiapan tenaga kerja pengendali keamanan dan kenyamanan lingkungan</t>
  </si>
  <si>
    <t>Operasional kesiapsiagaan penanggulangan bencana dan kebakaran di POS BPBD dan Pusdalop</t>
  </si>
  <si>
    <t xml:space="preserve">Meningkatnya kesiapsiagaan Penanggulangan bencana </t>
  </si>
  <si>
    <t xml:space="preserve">Pengawasan pelaksanaan kebijakan pencegahan kebakaran </t>
  </si>
  <si>
    <t>Terlaksananya pendataan apar/hidran di masyarakat dan dunia usaha</t>
  </si>
  <si>
    <t>Kegiatan pendidikan dan pelatihan pertolongan dan pencegahan kebakaran</t>
  </si>
  <si>
    <t>terlaksananya pelatihan Pencegahan dan Penanggulangan kebakaran kepada msyarakat, SKPD, sekolah dan dunia usaha</t>
  </si>
  <si>
    <t>Pengadaan sarana dan prasarana pencegahan bahaya kebakaran</t>
  </si>
  <si>
    <t>Tersedianya kelengkapan mobil pemadam dan alat penyelamatan diri</t>
  </si>
  <si>
    <t>Rehabilitasi sarana dan prasarana pencegahan bahaya kebakaran</t>
  </si>
  <si>
    <t>berfungsi kendaraan damkar lama dengan baik</t>
  </si>
  <si>
    <t>Penyediaan jasa peralatan dan perlengkapan kantor</t>
  </si>
  <si>
    <t>Tersedianya pemeliharaan peralatan &amp; perlengkapan kantor</t>
  </si>
  <si>
    <t>Pengadaan Kendaraan Dinas/Operasional</t>
  </si>
  <si>
    <t>Tersedianya kendaraan dinas operasional yang memadai</t>
  </si>
  <si>
    <t xml:space="preserve">Pengadaan perlengkapan gedung kantor. </t>
  </si>
  <si>
    <t>Pengadaan .........</t>
  </si>
  <si>
    <t>terpeliharanya Pos Jaga Pemadam kebakaran</t>
  </si>
  <si>
    <t xml:space="preserve">Pengadaan meja kursi rapat, kursi tunggu tamu, sofa </t>
  </si>
  <si>
    <t>Pengadaan bufet dan almari</t>
  </si>
  <si>
    <t>Tersusunnya Data base SKPD tiap Semester.</t>
  </si>
  <si>
    <t xml:space="preserve">Penyusunan dan pengumpulan data informasi kebutuhan penyusunan dokumen perencanaan </t>
  </si>
  <si>
    <t>Tersedianya dokumen perencanaan dan evaluasinya</t>
  </si>
  <si>
    <t>Pendidikan dan pelatihan Formal</t>
  </si>
  <si>
    <t>Pningkatan kapasitas PNS dan THL</t>
  </si>
  <si>
    <t>TOTAL ANGGARAN</t>
  </si>
  <si>
    <t>Koordinasi penilaian Kota Sehat/Adipura</t>
  </si>
  <si>
    <t>Terlaksananya Sosialisasi/ pembinaan dan penilaian  Adipura</t>
  </si>
  <si>
    <t xml:space="preserve">Kawasan perkotaan Kebumen dan  kawasan pendukungnya </t>
  </si>
  <si>
    <t>Pembuatan pergola/taman</t>
  </si>
  <si>
    <t>Pemantauan Kualitas Lingkungan</t>
  </si>
  <si>
    <t>Terlaksananya pemantauan dan pengujian kualitas lingkungan dan laporan SPM</t>
  </si>
  <si>
    <t>Pengawasan pelaksanaan kebijakan bidang lingkungan hidup</t>
  </si>
  <si>
    <t>Penerbitan rekomendasi Ijin Lingkungan dan pengawasan penataan baku mutu lingkungan</t>
  </si>
  <si>
    <t>Pengelolaan B3 dan Limbah B3</t>
  </si>
  <si>
    <t>Teridentifikasinya GRK, B3, Limbah B3, BPO di Kab. Kebumen</t>
  </si>
  <si>
    <t>Pengkajian Dampak Lingkungan Hidup</t>
  </si>
  <si>
    <t>Tersedianya data  daya dukung dan daya tampung lingkungan</t>
  </si>
  <si>
    <t>Penyusunan kebijakan pengendalian pencemaran dan perusakan lingkungan hidup</t>
  </si>
  <si>
    <t>Tersusunnya Perdes Bidang Lingkungan Hidup</t>
  </si>
  <si>
    <t>Peningkatan peran serta masyarakat dalam pengendalian lingkungan hidup</t>
  </si>
  <si>
    <t>Terlaksananya sosialisasi dan pembinaan pengendalian lh</t>
  </si>
  <si>
    <t>Kecamatan Karanggayam, Klirong, Karangsambung, Kebumen, Mirit,  Alian, Puring, Rowokele, Ayah</t>
  </si>
  <si>
    <t>Terlaksananya monitoring dan evaluasi  kegiatan</t>
  </si>
  <si>
    <t>Kabupaten Kebumen</t>
  </si>
  <si>
    <t>Penerapan manajemen lingkungan limbah industri tembakau yang mengacu AMDAL (DBHCHT)</t>
  </si>
  <si>
    <t>Terlaksananya sosialisasi dan pengadaan sarana pengelolaan lingkungan</t>
  </si>
  <si>
    <t>Kecamatan Sempr, Gombong</t>
  </si>
  <si>
    <t>Pengadaan sarana dan prasarana pemantauan kualitas lingkungan (DAK)</t>
  </si>
  <si>
    <t xml:space="preserve">Bor biopori,  Kendaraan bermotor roda 3 pengangkut sampah , tong sampah terpilah, kelengkapan  SILHD, Alat laboratorium, Biogas ternak skala komunal, IPAL , Mobil pemantauan dan pengawasan, Alat laboratorium, kendaraan dinas  roda 2, Tanaman, sumur resapan, Bank sampah, Rumah pengomposan, pengumpul gas landfill, sarpra pemilah sampah. </t>
  </si>
  <si>
    <t>Pembangunan tempat pembuangan benda padat/cair yang menimbulkan polusi</t>
  </si>
  <si>
    <t xml:space="preserve">Terbangunya IPAL Industri Kecil </t>
  </si>
  <si>
    <t>Penyuluhan dan pengendalian polusi dan pencemaran</t>
  </si>
  <si>
    <t xml:space="preserve">Sosialisasi  pengendalian polusi </t>
  </si>
  <si>
    <t>Peningkatan peran serta masyarakat dalam rehabilitasi dan pemulihan cadangan SDA</t>
  </si>
  <si>
    <t>Terlaksananya identifikasi mata air, pembinaan dan bantuan bibit tanaman konservasi</t>
  </si>
  <si>
    <t>Pengelolaan keanekaragaman hayati dan ekosistem</t>
  </si>
  <si>
    <t>Penyusunan profil keanekaragaman hayati</t>
  </si>
  <si>
    <t>Peningkatan edukasi dan komunikasi masyarakat di bidang lingkungan</t>
  </si>
  <si>
    <t>Terlaksananya pembinaan dan seleksi sekolah berwawasan lingkungan pada sekolah dasar dan menengah serta pelaksanaan saka kalpataru</t>
  </si>
  <si>
    <t>Pengembangan data dan informasi lingkungan</t>
  </si>
  <si>
    <t>Tersusunnya buku laporan status lingkungan hidup Kabupaten kebumen (SLHD)</t>
  </si>
  <si>
    <t>Penguatan, jejaring informasi lingkungan pusat dan daerah</t>
  </si>
  <si>
    <t>Terlaksananya kegiatan Car Free Day, Hari Lingkungan Hidup, Pameran dan Pawai Lingkungan Hidup</t>
  </si>
  <si>
    <t>Peningkatan peran serta masyarakat dalam pengelolaan persampahan</t>
  </si>
  <si>
    <t>Terlaksananya sosialisasi pengelolaan persampahan</t>
  </si>
  <si>
    <t xml:space="preserve">Tersedianya jasa komunikasi, sumber daya air dan listrik </t>
  </si>
  <si>
    <t xml:space="preserve">Tersedianya jasa pemeliharaan dan perizinan kendaraan dinas/ operasional </t>
  </si>
  <si>
    <t xml:space="preserve">Tersedianya jasa administrasi keuangan </t>
  </si>
  <si>
    <t>Tersediannya alat tulis kantor</t>
  </si>
  <si>
    <t xml:space="preserve">Tersedianya barang cetakan dan penggandaan </t>
  </si>
  <si>
    <t>Tersediannya Komponen Instalansi listrik penerangan bangunan kantor</t>
  </si>
  <si>
    <t>Tersediannya makanan dan minuman rapat dan tamu</t>
  </si>
  <si>
    <t xml:space="preserve">Terlaksanaannya Perjalananan Dinas Luar Dinas Luar Daerah </t>
  </si>
  <si>
    <t xml:space="preserve">Terlaksanaannya Pejalanan Dinas dalam daerah </t>
  </si>
  <si>
    <t>Tersedianya Jaringan Listrik, AC, Jam dinding, cc tv, gorden  dan  tabung kebakaran</t>
  </si>
  <si>
    <t xml:space="preserve">Tersedianya  printer dan pesawat telephone, laptop/komputer,mesin ketik, Televisi, Sound sytem, </t>
  </si>
  <si>
    <t>Tersedianya  lemari dan  rak arsip, meja komputer/  meja kerja, kursi  tunggu, kursi tamu</t>
  </si>
  <si>
    <t>Pengadaan Sarana Dan Prasarana Kantor</t>
  </si>
  <si>
    <t>Tersedianya Kendaraan roda Dua</t>
  </si>
  <si>
    <t xml:space="preserve">Terpeliharanya gedung dan ruang rapat kantor, dan tempat parkir kendaraan dinas </t>
  </si>
  <si>
    <t xml:space="preserve">Terpeliharanya mebeler </t>
  </si>
  <si>
    <t>Tersusunnya Renstra (2016), Renja, LAKIP, LKPJ, LPPD, RKA, DPA, Terlaksananya Rakor POP dan Forum SKPD</t>
  </si>
  <si>
    <t>Tersusunnya Database Lingkungan Hidup</t>
  </si>
  <si>
    <t>NAKERTRANSOS</t>
  </si>
  <si>
    <t>Peningkatan Kemampuan (Capacity Building) petugas dan pedamping sosial pemberdayaan fakir miskin, KAT dan PMKS lainnya</t>
  </si>
  <si>
    <t xml:space="preserve">Terlaksananya bimbingan dan pembinaan  </t>
  </si>
  <si>
    <t>Terlaksananya Pelaksanaan Program Keluarga Harpan</t>
  </si>
  <si>
    <t>KSM</t>
  </si>
  <si>
    <t xml:space="preserve">Pemberiaan sarana dan prasaran penunjang bagi tim pelaksana PKH  </t>
  </si>
  <si>
    <t>Fasilitasi manajemen usaha bagi keluarga miskin</t>
  </si>
  <si>
    <t xml:space="preserve">Terlaksananya pelatihan Ketrampilan             </t>
  </si>
  <si>
    <t xml:space="preserve">Pemberian bantuan usaha ekonomis produktif Fakir Miskin </t>
  </si>
  <si>
    <t>Pelatihan ketrampilan bagi penyandang masalah kesejahteraan sosial</t>
  </si>
  <si>
    <t xml:space="preserve">Terlaksananya pelatihan ketrampilan                             </t>
  </si>
  <si>
    <t xml:space="preserve">Pemberian bantuan usaha ekonomi produktif  bagi lanjut usia potensial </t>
  </si>
  <si>
    <t>Pelatihan keterampilan dan praktek belajar kerja bagi anak terlantar termasuk anak jalanan, anak cacat, dan anak nakal</t>
  </si>
  <si>
    <t xml:space="preserve">Terlaksananya pelatihan ketrampilan bagi Anak terlantar, termasuk Anjal, Ancat, Ankal                                                              </t>
  </si>
  <si>
    <t xml:space="preserve">Pemberian bantuan usaha ekonomi produktif bagi Anak terlantar, termasuk Anjal, Ancat, Ankal </t>
  </si>
  <si>
    <t>Pelayanan psikososial bagi PMKS di trauma centre termasuk bagi korban bencana</t>
  </si>
  <si>
    <t xml:space="preserve">Terlaksananya pelayanan masyarakat korban bencana </t>
  </si>
  <si>
    <t xml:space="preserve">Terlaksananya pelatihan taruna siaga bencana  </t>
  </si>
  <si>
    <t>Pendayagunaan para penyandang cacat dan eks trauma</t>
  </si>
  <si>
    <t>Pendayaguna-an para penyandang cacat dan eks trauma  seta terkirimnya anak mengalami permasalahan sosial</t>
  </si>
  <si>
    <t>Pendidikan dan pelatih-an bagi penghuni panti asuhan/jompo</t>
  </si>
  <si>
    <t xml:space="preserve">Pemberian bantuan makanan siap saji dan sarana sekolah bagi anak panti asuhan  </t>
  </si>
  <si>
    <t>Pendidikan dan pelatihan ketrampilan berusaha bagi eks penyandang penyakit sosial</t>
  </si>
  <si>
    <t>Terbinanya eks Napi dan ODHA (orang)</t>
  </si>
  <si>
    <t>Peningkatan peran aktif masyarakat dan dunia usaha</t>
  </si>
  <si>
    <t>Terlaksananya bimbingan sosial dan pelatihan keterampilan serta pemberian bantuan UEP bagi anggota veteran/perintis kemerdekaan dan keluarganya (orang)</t>
  </si>
  <si>
    <t>Peningkatan jenjang kerjasama pelaku-pelaku usaha kesejahteraan sosial masyarakat</t>
  </si>
  <si>
    <t>Tebinanya Pengurus Organisasi Sosial (Orsos) dan Panti Asuhan, pelaku-pelaku UKS   (orang)</t>
  </si>
  <si>
    <t>Peningkatan kualitas SDM kesejahteraan sosial masyarakat</t>
  </si>
  <si>
    <t>Terbinanya Karang Taruna dan wanita Rawan sosial ekonomi dan tenaga kesejahteraan sosial kecamatan (TKSK)</t>
  </si>
  <si>
    <t>Pendidikan dan pelatihan ketrampilan bagi pencari kerja</t>
  </si>
  <si>
    <t xml:space="preserve">Terlaksananya kegiatan pelatihan berbasis kompentensi </t>
  </si>
  <si>
    <t xml:space="preserve">Pelatihan bagi siswa SMK yang mengikuti pratek kerja industri (prakerin) </t>
  </si>
  <si>
    <t>0rang</t>
  </si>
  <si>
    <t>Pembangunan Balai Latihan Kerja (BLK) (DBHCHT)</t>
  </si>
  <si>
    <t xml:space="preserve">Terbangunnya gedung workshop BLK  dan Gedung kantor </t>
  </si>
  <si>
    <t>Pengadaan sarana dan prasarana BLK (DBHCHT)</t>
  </si>
  <si>
    <t xml:space="preserve">Tersedianya peralatan ketrampilan kerja untuk kejuruan </t>
  </si>
  <si>
    <t>Penyusunan informasi bursa tenaga kerja</t>
  </si>
  <si>
    <t>Terlaksananya Penempatan Tenaga melalui mekanisme AKL dan AKAD</t>
  </si>
  <si>
    <t>Penyusunan informasi bursa kerja (Mini Job Fair)</t>
  </si>
  <si>
    <t xml:space="preserve">Terlaksananya Proses rekruitmen tenaga kerja </t>
  </si>
  <si>
    <t>Penguatan Wira usaha mandiri (kali)</t>
  </si>
  <si>
    <t>Penyebarluasan informasi bursa tenaga kerja</t>
  </si>
  <si>
    <t xml:space="preserve">Sosialisasi Mekanisman Penempatan TKI keluar negeri </t>
  </si>
  <si>
    <t>Terlaksananya Penempatan Tenaga melalui mekanisme AKAN</t>
  </si>
  <si>
    <t>Kerjasama pendidikan dan pelatihan</t>
  </si>
  <si>
    <t xml:space="preserve">Pelatihan di LPKS </t>
  </si>
  <si>
    <t>Penyiapan tenaga kerja siap pakai</t>
  </si>
  <si>
    <t xml:space="preserve">Terlaksananya Pelatihan berbasis masyarakat </t>
  </si>
  <si>
    <t>Pengembangan kelembagaan produktivitas dan pelatihan kewirausahaan</t>
  </si>
  <si>
    <t xml:space="preserve">Terlaksanya Pelatihan Keterampilan bagi LPKS </t>
  </si>
  <si>
    <t xml:space="preserve">Terlaksanya Pelatihan Keterampilan bagi WUB </t>
  </si>
  <si>
    <t xml:space="preserve">Terbentuknya Desa Produktiv </t>
  </si>
  <si>
    <t>Pemberdayaan SDM calon tenaga kerja melalui pemagangan dalam dan luar negeri</t>
  </si>
  <si>
    <t xml:space="preserve">Sosialisasi Pemagangan dalam dan luar negeri </t>
  </si>
  <si>
    <t>Perluasan dan pengembangan kesempatan kerja</t>
  </si>
  <si>
    <t xml:space="preserve">Terlaksananya Padat karya  </t>
  </si>
  <si>
    <t>Pemberdayaan Tenaga Kerja Indonesia (TKI) Purna</t>
  </si>
  <si>
    <t xml:space="preserve">Terlaksananya Pelatihan bagi TKI Purna </t>
  </si>
  <si>
    <t xml:space="preserve">Tersusunya data base TKI </t>
  </si>
  <si>
    <t>Pengendalian dan pembinaan lembaga penyalur tenaga kerja</t>
  </si>
  <si>
    <t xml:space="preserve">Terlaksananya Sosialisasi dan Pembinaan PPTKIS </t>
  </si>
  <si>
    <t>perusahaan</t>
  </si>
  <si>
    <t>Fasilitasi penyelesaian prosedur, penyelesaian perselisihan hubungan industrial</t>
  </si>
  <si>
    <t xml:space="preserve">Jumlah perusahaan yang akan dicapai dalam rangka pelaksanaan pengawasan dan perlindungan dan penegakan hukum </t>
  </si>
  <si>
    <t>Fasilitasi penyelesaian prosedur pemberian perlindungan hukum dan jaminan sosial ketenagakerjaan</t>
  </si>
  <si>
    <t xml:space="preserve">Terfasilitasinya Penyelesaian Prosedur Hubungan Industrial, PHK, LKS, Bipartid.  </t>
  </si>
  <si>
    <t>Sosialisasi berbagai peraturan pelaksanaan tentang ketenagakerjaan</t>
  </si>
  <si>
    <t xml:space="preserve">Telaksananya Sosialisasi per UU Ketenagakerjaan dan UKM </t>
  </si>
  <si>
    <t>Peningkatan pengawasan, perlindungan dan penegakkan hukum terhadap keselamatan dan kesehatan kerja</t>
  </si>
  <si>
    <t xml:space="preserve">Meningkatnya pengawasan dan perlindungan hukum terhadap keselamatan dan kesehatan kerja </t>
  </si>
  <si>
    <t>Pembinaan ketenagakerjaan LKS tripartit</t>
  </si>
  <si>
    <t xml:space="preserve">Terlaksananya Hari buruh tingkat kabupaten dan Peningkatan LKS Tripartit </t>
  </si>
  <si>
    <t>Pengerahan dan fasilitasi perpindahan serta penempatan transmigrasi untuk memenuhi kebutuhan SDM</t>
  </si>
  <si>
    <t xml:space="preserve">Fasilitasinya penempatan transmigrasi </t>
  </si>
  <si>
    <t xml:space="preserve">Tesedianya  jasa surat menyurat </t>
  </si>
  <si>
    <t xml:space="preserve">Tersedianya jasa pendukung administrasi keuanganr </t>
  </si>
  <si>
    <t xml:space="preserve">Tersedianya jasa kebersihan kantor </t>
  </si>
  <si>
    <t xml:space="preserve">Tersedianya komponen instalasi listrik/penerangan bangunan kantor </t>
  </si>
  <si>
    <t>Penyediaan bahan bacaan dan peraturan perundang ‑ undangan</t>
  </si>
  <si>
    <t xml:space="preserve">Tersedianya bahan bacaan dan peraturan perundang ‑ undangan </t>
  </si>
  <si>
    <t>Rapat‑rapat koordinasi dan konsultasi ke luar daerah</t>
  </si>
  <si>
    <t xml:space="preserve">Terselenggaranya perjalanan dinas Rapat‑rapat koordinasi dan konsultasi ke luar daerah </t>
  </si>
  <si>
    <t>Rapat‑rapat koordinasi dan konsultasi dalam daerah</t>
  </si>
  <si>
    <t xml:space="preserve">Terselenggaranya perjalanan dinas Rapat‑rapat koordinasi dan konsultasi ke dalam daerah </t>
  </si>
  <si>
    <t>Pengadaan motor</t>
  </si>
  <si>
    <t>Pengadaan mobil</t>
  </si>
  <si>
    <t>Pengadaan TV</t>
  </si>
  <si>
    <t>Pengadaan Orbit Fan</t>
  </si>
  <si>
    <t>Pengadaan Wall Fan</t>
  </si>
  <si>
    <t>Pengadaan AC 1 pk</t>
  </si>
  <si>
    <t>Pengadaan Kipas Angin</t>
  </si>
  <si>
    <t>Pengadaan peralatan kantor</t>
  </si>
  <si>
    <t>Pengadaan Printer</t>
  </si>
  <si>
    <t>Pengadaan Laptop</t>
  </si>
  <si>
    <t>Kursi dan meja rapat</t>
  </si>
  <si>
    <t>Meja Pejabat</t>
  </si>
  <si>
    <t>Sofa</t>
  </si>
  <si>
    <t>Meja telepon</t>
  </si>
  <si>
    <t>Almari</t>
  </si>
  <si>
    <t>Pemeliharaan rutin/ berkala gedung kantor</t>
  </si>
  <si>
    <t>pemeeliharaan rutin/ berkala gedung kantor</t>
  </si>
  <si>
    <t>Penyusunan dan pengumpulan data/ in-formasi ke-butuhan penyusun-an doku-men peren-canaan</t>
  </si>
  <si>
    <t xml:space="preserve">Tersusunya LAKIP, LKPJ, LPPD, Renstra, Renja SKPD, RKA dan DPA, </t>
  </si>
  <si>
    <t>Tersusunnya database ketenagakerjaan dan data sosial semesteran  (dokumen)</t>
  </si>
  <si>
    <t>Peningkatan fasilitasi terwujudnya kerjasama strategis antara usaha besar dan Usaha Kecil Menengah</t>
  </si>
  <si>
    <t>Terlaksananya Temu usaha dan orientasi kerjasama usaha besar dan usaha kecil</t>
  </si>
  <si>
    <t>Terlaksananya Orientasi kerjasama usaha besar dan usaha kecil</t>
  </si>
  <si>
    <t>Pemantauan usaha besar dan usaha kecil menengah</t>
  </si>
  <si>
    <t>Koordinasi perencanaan dan pengembangan penanaman modal</t>
  </si>
  <si>
    <t xml:space="preserve">Tersedianya bahan-bahan promosi untuk pengembangan modal berupa studi/penelitian), Penyebaran informasi profil investasi </t>
  </si>
  <si>
    <t>Peningkatan koordinasi dan kerjasama di bidang penanaman modal dengan instansi pemerintah dan dunia usaha</t>
  </si>
  <si>
    <t>Terlaksananya koordinasi dan kerjasama penanaman modal berupa : Temu Usaha/ Machmaking, Kebumen Business Forum, Penganugeraan Usaha Terbaik</t>
  </si>
  <si>
    <t>Pengawasan dan evaluasi kinerja dan aparatur Badan Penanaman Modal Daerah</t>
  </si>
  <si>
    <t xml:space="preserve">Tercukupinya Pengawasan dan evaluasi kinerja dan aparatur Badan Penanaman Modal Daerah  </t>
  </si>
  <si>
    <t>Peningkatan kegiatan pemantauan, pembinaan dan pengawasan pelaksanaan penanaman modal</t>
  </si>
  <si>
    <t xml:space="preserve">Terlaksananya pemantauan, pembinaan dan pengawasan penanaman modal terhadap perusahaan </t>
  </si>
  <si>
    <t>Penyelenggaraan pameran investasi</t>
  </si>
  <si>
    <t>Terlaksananya pameran investasi</t>
  </si>
  <si>
    <t>Terlaksananya Monitoring, evaluasi dan pelaporan kepada perusahaan secara berkala (bulanan, tribulanan, semesteran)</t>
  </si>
  <si>
    <t>Fasilitasi kemudahan perijinan pengembangan usaha</t>
  </si>
  <si>
    <t>Terlayaninya pengajuan perijinan pengembangan usaha</t>
  </si>
  <si>
    <t>ijin usaha</t>
  </si>
  <si>
    <t>Sosialisasi kemudahan perijinan</t>
  </si>
  <si>
    <t>Peningkatan Pelayanan Perijinan</t>
  </si>
  <si>
    <t>Terlayaninya perijinan</t>
  </si>
  <si>
    <t>Pemberian kemudahan izin usaha industri kecil &amp; menengah</t>
  </si>
  <si>
    <t xml:space="preserve">Terlaksananya kemudahan pengusaha &amp; pengurusan perizinan untuk penyebaran usaha </t>
  </si>
  <si>
    <t>Terlaksananya kegiatan surat menyurat (dok)</t>
  </si>
  <si>
    <t>Terbayarnya listrik, air, telepon dan internet (bulan)</t>
  </si>
  <si>
    <t>Terpeliharanya kendaraan dinas/operasional (unit)</t>
  </si>
  <si>
    <t>Terlaksananya jasa administrasi keuangan  (orang)</t>
  </si>
  <si>
    <t>Tersedianya sarana kebersihan (paket)</t>
  </si>
  <si>
    <t>Terealisasinya perbaikan peralatan kerja (paket)</t>
  </si>
  <si>
    <t>Tersedianya alat tulis kantor (paket)</t>
  </si>
  <si>
    <t>Tersedianya barang cetakan &amp; penggandaan (bulan)</t>
  </si>
  <si>
    <t>Tersedianya komponen listrik (paket)</t>
  </si>
  <si>
    <t>Tersedianya bahan bacaan &amp; peraturan Per- UU-an (bulan)</t>
  </si>
  <si>
    <t>Tersedianya makan dan minum rapat (orang / kali)</t>
  </si>
  <si>
    <t>Tersedianya dana untuk perjalanan dinas keluar daerah (orang/kali)</t>
  </si>
  <si>
    <t>Terlaksananya perjalanan dinas dalam daerah (orang/kali)</t>
  </si>
  <si>
    <t>Terlaksananya pengadaan kendaraan dinas/operasional (unit)</t>
  </si>
  <si>
    <t>Pengadaan peralatan gedung/kantor</t>
  </si>
  <si>
    <t>Terlaksananya pengadaan peralatan gedung kantor (paket)</t>
  </si>
  <si>
    <t>Pemeliharaan rutin/berkala perlengkapan gedung kantor</t>
  </si>
  <si>
    <t>Terlaksananya pemeliharaan gedung kantor (paket)</t>
  </si>
  <si>
    <t>Tersusunnya dokumen perencanaan : Renja, Renstra, Lakip, LKPJ, LPPD, Rakor Pop/K, Monev dan laporan bulanan lain (dokumen)</t>
  </si>
  <si>
    <t>Tersusunnya dokumen database  Penanaman Modal dan  Perijinan Usaha</t>
  </si>
  <si>
    <t>Penanganan daerah rawan pangan</t>
  </si>
  <si>
    <t>Tertanganinya kerawanan pangan akibat gizi kurang/buruk</t>
  </si>
  <si>
    <t>Pengembangan cadangan pangan</t>
  </si>
  <si>
    <t>Tersedianya cadangan pangan pemerintah</t>
  </si>
  <si>
    <t>Pengembangan desa mandiri pangan</t>
  </si>
  <si>
    <t>Terlaksananya pengembangan desa mandiri pangan</t>
  </si>
  <si>
    <t>Pengembangan lumbung pangan</t>
  </si>
  <si>
    <t>Terlaksananya pembinaan dan pengembangan lumbung  pangan</t>
  </si>
  <si>
    <t>Pengembangan lumbung pangan (DAK)</t>
  </si>
  <si>
    <t>Terlaksananya pembangunan/rehab lumbung pangan</t>
  </si>
  <si>
    <t>Penyusunan database potensi produk pangan</t>
  </si>
  <si>
    <t>Tersusunnya database potensi produk pangan (Neraca Bahan Makanan)</t>
  </si>
  <si>
    <t>Peningkatan preferensi pangan masyarakat</t>
  </si>
  <si>
    <t>Terlaksananya pengembangan potensi pangan lokal</t>
  </si>
  <si>
    <t>Pengembangan model distribusi pangan yang efisien</t>
  </si>
  <si>
    <t>Terlaksananya pengembangan distribusi dan akses pangan melalui pasar murah dan padat karya pangan</t>
  </si>
  <si>
    <t>Koordinasi kebijakan perberasan</t>
  </si>
  <si>
    <t>Terlaksananya stabilisasi harga pangan di tk. Petani/gapoktan</t>
  </si>
  <si>
    <t>gapoktan</t>
  </si>
  <si>
    <t>Pengembangan sistim informasi pasar</t>
  </si>
  <si>
    <t>Tersedianya informasi pasokan dan harga pangan di daerah</t>
  </si>
  <si>
    <t>Laporan berkala kondisi ketahanan pangan daerah</t>
  </si>
  <si>
    <t>Terlaksananya koordinasi dan pelaporan dewan ketahanan pangan</t>
  </si>
  <si>
    <t>Peningkatan dan pengem-bangan diversifikasi pangan</t>
  </si>
  <si>
    <t>Terlaksananya pengembangan penanekaragaman konsumsi pangan (P2KP)</t>
  </si>
  <si>
    <t xml:space="preserve">kelompok </t>
  </si>
  <si>
    <t>Penyusunan analisis pola konsumsi dan suplai pangan</t>
  </si>
  <si>
    <t>Terlaksananya penyusunan analisis pola konsumsi dan suplai pangan masyarakat</t>
  </si>
  <si>
    <t>Peningkatan mutu dan keamanan pangan</t>
  </si>
  <si>
    <t>Pengujian sampel pangan segar</t>
  </si>
  <si>
    <t>tercukupinya kebutuhan jasa surat menyurat</t>
  </si>
  <si>
    <t>Tercukupinya jasa komunikasi sumber daya air dan listrik</t>
  </si>
  <si>
    <t>Tercukupinya kebutuhan pemeliharaan dan perijinan kendaraan dinas/operasional</t>
  </si>
  <si>
    <t>Tercukupinya jasa administrasi keuangan</t>
  </si>
  <si>
    <t xml:space="preserve">Tercukupinya kebutuhan jasa kebersihan kantor </t>
  </si>
  <si>
    <t xml:space="preserve">Tercukupinya kebutuhan jasa perbaikan peralatan kerja </t>
  </si>
  <si>
    <t xml:space="preserve">Tercukupinya kebutuhan alat tulis kantor </t>
  </si>
  <si>
    <t xml:space="preserve">Tercukupinya kebutuhan barang cetakan dan penggandaan </t>
  </si>
  <si>
    <t xml:space="preserve">Tercukupinya kebutuhan komponen instalasi listrik dan penerangan bangunan kantor </t>
  </si>
  <si>
    <t xml:space="preserve">Tercukupinya kebutuhan bahan bacaan dan peraturan perundang-undangan </t>
  </si>
  <si>
    <t xml:space="preserve">Tercukupinya kebutuhan makanan dan minuman rapat </t>
  </si>
  <si>
    <t xml:space="preserve">Terlaksananya koordinasi dan konsultasi keluar daerah </t>
  </si>
  <si>
    <t xml:space="preserve">Terlaksananya koordinasi dan konsultasi dalam daerah </t>
  </si>
  <si>
    <t>Pengadaan kendaraan bermotor roda dua</t>
  </si>
  <si>
    <t>Tercukupinya kendaraan dinas roda dua</t>
  </si>
  <si>
    <t>Tercukupinya peralatan gedung kantor</t>
  </si>
  <si>
    <t>Pengadaan meubelair</t>
  </si>
  <si>
    <t>Tercukupinya meubelair</t>
  </si>
  <si>
    <t>Penyusunan dan pengum-pulan data/infor-masi kebu-tuhan penyusunan dokumen perencanaan</t>
  </si>
  <si>
    <t>Rehabilitasi/pemeliharaan jaringan irigasi</t>
  </si>
  <si>
    <t xml:space="preserve">Pembangunan/ rehab JITUT </t>
  </si>
  <si>
    <t>desa/ paket</t>
  </si>
  <si>
    <t>Pembangunan/ rehab JIDES</t>
  </si>
  <si>
    <t>Sistem Informasi Jaringan Irigasi untuk P3A</t>
  </si>
  <si>
    <t>Rehabilitasi/pemeliharaan jaringan irigasi (Kuota Kecamatan)</t>
  </si>
  <si>
    <t>a. Pengembangan Jaringan Irigasi Tingkat Usahatani (JITUT)</t>
  </si>
  <si>
    <t>Desa/Paket</t>
  </si>
  <si>
    <t>b. Pengembangan  Jaringan Irigasi Desa (JIDES)</t>
  </si>
  <si>
    <t>c. Pengembangan Jalan Usahatani (JUT)</t>
  </si>
  <si>
    <t>d. Pengembangan Jaringan Irigasi Air Permukaan (JIAP)</t>
  </si>
  <si>
    <t>e. Pengembangan Jaringan Air Tanah (JIAT)</t>
  </si>
  <si>
    <t>Rehabilitasi/Pemeliharaan Jaringan Irigasi (DAK)</t>
  </si>
  <si>
    <t>- Terbangun-nya Prasarana dan Sarana Air Irigasi (PSAI) berupa Jaringan Irigasi Air Permukaan (JIAP), Jaringan Irigasi Air Tanah (JIAT), Dam Parit dan Embung</t>
  </si>
  <si>
    <t xml:space="preserve">Terbangun-nya Jalan Usaha Tani </t>
  </si>
  <si>
    <t xml:space="preserve">Terbangunnya dan Terehabnya Jaringan Irigasi Tersier </t>
  </si>
  <si>
    <t>Pelatihan petani dan pelaku agribisnis</t>
  </si>
  <si>
    <t xml:space="preserve">Terlatihnya para petani dalam hal penggunaan pupuk organik </t>
  </si>
  <si>
    <t>Penyuluhan dan pendampingan petani dan pelaku agribisnis</t>
  </si>
  <si>
    <t xml:space="preserve">Pembinaan, pendampingan kelompok penerima PMUK, dan Pelatihan manajemen </t>
  </si>
  <si>
    <t>Peningkatan kemampuan lembaga petani</t>
  </si>
  <si>
    <t>Terbinanya Kelompok Tani dalam Penyusunan RDKK</t>
  </si>
  <si>
    <t>Kelompok</t>
  </si>
  <si>
    <t>Terbinanya Kelompok P3A Dharma Tirta</t>
  </si>
  <si>
    <t>Pengadaan sarana dan prasarana teknologi pertanian/perkebunan tepat guna</t>
  </si>
  <si>
    <t xml:space="preserve">Pengadaan traktor </t>
  </si>
  <si>
    <t>Pengadaan pompa air dan peralatan lainnya (Unit)</t>
  </si>
  <si>
    <t>Kegiatan penyuluhan penerapan teknologi pertanian/perkebunan tepat guna</t>
  </si>
  <si>
    <t xml:space="preserve">Terlatihnya petani dalam hal SLPHT dan SLI </t>
  </si>
  <si>
    <t>Pengadaan sarana dan prasarana teknologi pertanian/perkebunan tepat guna (Kuota Kecamatan)</t>
  </si>
  <si>
    <t>Tercukupinya alat mesin pertanian berupa Traktor Roda dua</t>
  </si>
  <si>
    <t>Tercukupinya alat mesin pertanian berupa pompa air</t>
  </si>
  <si>
    <t>Pengadaan sarana prasarana teknologi pertanian/perkebunan tepat guna (DAK)</t>
  </si>
  <si>
    <t>Rehab/ penyempurnaan Balai Penyuluhan Pertanian (BPP) (unit)</t>
  </si>
  <si>
    <t>Pengadaan sarana penyuluhan (Unit)</t>
  </si>
  <si>
    <t>Kegiatan Program Rintisan dan Akselerasi Pemasyarakatan Teknologi Inovasi Pertanian (PRIMATANI) (BANPROP)</t>
  </si>
  <si>
    <t>Monitoring dan Evaluasi Kelompok penerima program MKRPL</t>
  </si>
  <si>
    <t>Penyediaan sarana produksi pertanian/perkebunan</t>
  </si>
  <si>
    <t>Tersedianya sarana dan prasarana MKRPL (Model kawasan rumah pangan lestari)</t>
  </si>
  <si>
    <t xml:space="preserve"> -   </t>
  </si>
  <si>
    <t>Pengembangan bibit unggul pertanian/perkebunan</t>
  </si>
  <si>
    <t xml:space="preserve">Sosialisasi / Pembinaan Hortikultura dan tanaman pangan. </t>
  </si>
  <si>
    <t xml:space="preserve"> Tersedianya saprodi budidaya tanaman pangan dan hortikultura 
</t>
  </si>
  <si>
    <t>Penanganan pasca panen dan pengolahan hasil pertanian</t>
  </si>
  <si>
    <t>Jumlah Peserta Pelatihan pengamatan kehilangan hasil (Orang)</t>
  </si>
  <si>
    <t xml:space="preserve"> Tersedianya alat pasca panen  (Paket)</t>
  </si>
  <si>
    <t>Pengembangan intensifikasi tanaman padi, palawija</t>
  </si>
  <si>
    <t>a. Dem Area Tanaman  Jagung</t>
  </si>
  <si>
    <t>Ha</t>
  </si>
  <si>
    <t xml:space="preserve"> b. Dem Area Ubi Kayu</t>
  </si>
  <si>
    <t>c. Dem Area Padi</t>
  </si>
  <si>
    <t>Pengembangan diversifikasi tanaman</t>
  </si>
  <si>
    <t>Pendampingan/ pengawalan kegiatan bantuan bibit tanaman kepada masyarakat miskin</t>
  </si>
  <si>
    <t>Pengembangan Sentra Tanaman Hortikultura dan Buah -buahan</t>
  </si>
  <si>
    <t>Luas sentra tanaman hortikultura dan Buah - buahan</t>
  </si>
  <si>
    <t>Tersedianya Sarana dan Prasarana Pengembangan Agrowisata Desa Tambakmulyo Kecamatan Puring</t>
  </si>
  <si>
    <t>Ls</t>
  </si>
  <si>
    <t>Promosi atas hasil produksi pertanian/perkebunan unggulan daerah</t>
  </si>
  <si>
    <t xml:space="preserve">Terlaksananya pameran dan promosi hasil produksi pertanian dan peternakan </t>
  </si>
  <si>
    <t>Pembibitan dan perawatan ternak</t>
  </si>
  <si>
    <t>sarpras IB</t>
  </si>
  <si>
    <t>kontes sapi</t>
  </si>
  <si>
    <t>Pengamanan Bibit Unggul Sapi PO</t>
  </si>
  <si>
    <t>Pengembangan Kelembagaan SPR</t>
  </si>
  <si>
    <t xml:space="preserve">Pembinaan Kelompok Perbibitan </t>
  </si>
  <si>
    <t>Pendistribusian bibit ternak  kepada masyarakat</t>
  </si>
  <si>
    <t>Termonitornya distribusi ternak dari berbagai sumber dana</t>
  </si>
  <si>
    <t>lembar</t>
  </si>
  <si>
    <t>Pengembangan agribisnis peternakan</t>
  </si>
  <si>
    <t>Tersedianya Sarana dan Prasarana Agribisnis/ Agrowisata Peternakan</t>
  </si>
  <si>
    <t>Pendataan masalah peternakan</t>
  </si>
  <si>
    <t xml:space="preserve">Penyediaan Jasa Laboratorium Diagnostik Veteriner sampel feces dan darah ternak dan Sampel produk/bahan asal hewan, dan pendataan penyakit hewan  </t>
  </si>
  <si>
    <t>Pemeliharaan kesehatan dan pencegahan penyakit menular ternak</t>
  </si>
  <si>
    <t>Pengadaan obat - obatan</t>
  </si>
  <si>
    <t xml:space="preserve">workshop Keswan </t>
  </si>
  <si>
    <t>Pemeliharaan rutin/berkala sarana dan prasarana pasar produksi peternakan</t>
  </si>
  <si>
    <t>Terkirimnya surat dan tersedianya benda-benda pos (Bulan)</t>
  </si>
  <si>
    <t xml:space="preserve">Terpenuhinya kebutuhan air, listrik dan telepon </t>
  </si>
  <si>
    <t xml:space="preserve">Tersedianya Jasa service kendaraan, pajak kendaraan dan Bahan Bakar Minyak </t>
  </si>
  <si>
    <t xml:space="preserve">Honorarium pelaksana kegiatan </t>
  </si>
  <si>
    <t xml:space="preserve">Tersedianya alat - alat kebersihan keperluan kantor </t>
  </si>
  <si>
    <t>Tersedianya jasa service dan penggantian sparepart alat - alat kantor</t>
  </si>
  <si>
    <t xml:space="preserve">Tersedianya barang cetakan, foto copy dan penjilidan </t>
  </si>
  <si>
    <t xml:space="preserve">Tersedianya alat listrik dan elektronik </t>
  </si>
  <si>
    <t xml:space="preserve">Tersedianya surat kabar, tabloit, dan majalah </t>
  </si>
  <si>
    <t xml:space="preserve">Tercukupinya kebutuhan jamuan makan dan minum dinas </t>
  </si>
  <si>
    <t xml:space="preserve">Perjalanan dinas luar daerah </t>
  </si>
  <si>
    <t xml:space="preserve">Tersedianya jasa tenaga harian lepas dan penilaian angka kredit jabatan fungsional </t>
  </si>
  <si>
    <t>Terlaksananya koordinasi/ tugas di wilayah kabupaten kebumen</t>
  </si>
  <si>
    <t>Tersedianya sarpras kantor berupa :</t>
  </si>
  <si>
    <t>Genset</t>
  </si>
  <si>
    <t>Gordyn dan Taplak</t>
  </si>
  <si>
    <t>AC Split</t>
  </si>
  <si>
    <t>Sound Sistem</t>
  </si>
  <si>
    <t>Facsimile</t>
  </si>
  <si>
    <t>CCTV</t>
  </si>
  <si>
    <t>Jaringan Distribusi Tegangan</t>
  </si>
  <si>
    <t>mebelair front office</t>
  </si>
  <si>
    <t>Lemari Arsip</t>
  </si>
  <si>
    <t>Meja Kursi</t>
  </si>
  <si>
    <t>HD Exsternal</t>
  </si>
  <si>
    <t>Mobil File</t>
  </si>
  <si>
    <t xml:space="preserve">Tersedianya peralatan kantor berupa laptop dan printer </t>
  </si>
  <si>
    <t>Printer</t>
  </si>
  <si>
    <t>Printer Porteble</t>
  </si>
  <si>
    <t>Scaner</t>
  </si>
  <si>
    <t>Finger Printer</t>
  </si>
  <si>
    <t>Camera</t>
  </si>
  <si>
    <t>Handycam</t>
  </si>
  <si>
    <t xml:space="preserve">Pemeliharaan rutin gedung kantor distannak dan UPTD / BPP </t>
  </si>
  <si>
    <t>Gedung Kantor Distannak</t>
  </si>
  <si>
    <t>Gedung BPP/ UPTD</t>
  </si>
  <si>
    <t>Terlaksananya Forum SKPD, Rakor POP/ K dan Penyusunan Renstra LKPJ, LPPD, LAKIP, GAP/GBS, SPIP, serta Monev Kegiatan</t>
  </si>
  <si>
    <t xml:space="preserve">Tersedianya   Database pertanian dan peternakan </t>
  </si>
  <si>
    <t xml:space="preserve">Jumlah Raperda tentang Peternakan dan Kesehatan Ternak </t>
  </si>
  <si>
    <t>JUMLAH ANGGARAN</t>
  </si>
  <si>
    <t>Pendampingan pada kelompok nelayan perikanan tangkap</t>
  </si>
  <si>
    <t>Pembinaan kelompok nelayan</t>
  </si>
  <si>
    <t>Rehabilitasi sedang/berat tempat pelelangan ikan</t>
  </si>
  <si>
    <t>Terpeliharanya sarana dan prasarana TPI kabupaten</t>
  </si>
  <si>
    <t>Pengembangan Lembaga Usaha Perdagangan Perikanan Tangkap</t>
  </si>
  <si>
    <t>Tersedianya sarana operasional 8 TPI, cetak blanko pelelangan ikan dan tersedianya honor petugas TPI</t>
  </si>
  <si>
    <t>Pengembangan Sarana Alat Tangkap</t>
  </si>
  <si>
    <t>Pemberian Bantuan mesin kapal</t>
  </si>
  <si>
    <t>Pembangunan Tempat Pelelangan Ikan (DAK)</t>
  </si>
  <si>
    <t>Terlaksananya pembangunan dan pengembangan fasilitas fungsional TPI (Karangduwur, Argopeni dan Pasir)</t>
  </si>
  <si>
    <t>Pembangunan Sarana/Prasarana TPI di lokasi PPI Logending</t>
  </si>
  <si>
    <t>Pengembangan Sarana Alat Tangkap (DAK)</t>
  </si>
  <si>
    <t>Pengadaan kapal &gt;3 GT</t>
  </si>
  <si>
    <t>Pembinaan dan Pengembangan Perikanan</t>
  </si>
  <si>
    <t>Terlaksananya pembinaan, penyuluhan, bintek dan monev perikanan budidaya</t>
  </si>
  <si>
    <t>Pendampingan  pada Kelompok pembudidaya ikan</t>
  </si>
  <si>
    <t>Terbentuknya dan berkembangnya kawasan agrobisnis perikanan dan kelautan dengan pendampingan budidaya sidat, lele dan gurami serta pengolahan dan pemasaran.</t>
  </si>
  <si>
    <t>Pengembangan Bibit Ikan Unggul</t>
  </si>
  <si>
    <t>Tersedianya sarana operasional BBI dan Tambak dinas</t>
  </si>
  <si>
    <t>Pengembangan Sarana dan Prasarana Budidaya Perikanan (DAK)</t>
  </si>
  <si>
    <t>-Terbangunnya gedung dan sarpras UPR</t>
  </si>
  <si>
    <t>-Penyempurnaan BBI</t>
  </si>
  <si>
    <t>- Terbangunya BBI di wilayah timur</t>
  </si>
  <si>
    <t>Peningkatan Kualitas dan Kuantitas Produksi dan Pemasaran Benih Bibit Unggul</t>
  </si>
  <si>
    <t>Partisipasi dalam pameran/promosi kelautan dan perikanan, fasilitasi sarpras pengolahan</t>
  </si>
  <si>
    <t>Peningkatan Kualitas dan Kuantitas Produksi dan Pemasaran Benih Bibit Unggul (DAK)</t>
  </si>
  <si>
    <t>Tersedianya kios mini dan sarpras lahsar hasil perikanan</t>
  </si>
  <si>
    <t>Pembinaan Kelompok Ekonomi Masyarakat Pesisir</t>
  </si>
  <si>
    <t>Terbinanya kelompok ekonomi masyarakat pesisir</t>
  </si>
  <si>
    <t>Penataan ruangn dan perencanaan  pengelolaan wilayah laut, pesisir dan pulau-pulau kecil</t>
  </si>
  <si>
    <t>Penyusunan Dokumen Kajian Akademus wilayah Pesisir</t>
  </si>
  <si>
    <t>Pembentukan Kelompok Masyarakat Swakarsa Pengamanan Sumberdaya Kelautan</t>
  </si>
  <si>
    <t>Terbentuknya kelompok masyarakat Swakarsa</t>
  </si>
  <si>
    <t xml:space="preserve">Pengadaan benih ikan untuk perairan umum </t>
  </si>
  <si>
    <t>Pengadaan rambu-rambu peringatan/konservasi</t>
  </si>
  <si>
    <t>penyempurnaan pos dan sarpras pengawasan</t>
  </si>
  <si>
    <t>Jumlah surat terkirim</t>
  </si>
  <si>
    <t>Tersedianya penyediaan Jasa Komunikasi, SDA dan Listrik</t>
  </si>
  <si>
    <t>Terpenuhnya kebutuhan Jasa Pemeliharaan dan Perizinan Kendaraan Operasional/Dinas</t>
  </si>
  <si>
    <t>Penyediaan Jasa Administrasi</t>
  </si>
  <si>
    <t>Pemberian honorarium penatausahaan keuangan</t>
  </si>
  <si>
    <t>Tersedianya peralatan kerja yang baik</t>
  </si>
  <si>
    <t>Tersedianya bahan bacaan kantor</t>
  </si>
  <si>
    <t>Tersedianya makanan dan minuman untuk tamu</t>
  </si>
  <si>
    <t>Tersedianya dana koordinasi dan konsultasi ke luar daerah</t>
  </si>
  <si>
    <t>Tersedianya dana koordinasi dan konsultasi dalam daerah</t>
  </si>
  <si>
    <t>Pengadaan Notebook</t>
  </si>
  <si>
    <t>Pengadaan Scaner</t>
  </si>
  <si>
    <t>Pengadaan kursi rapat</t>
  </si>
  <si>
    <t>Pengadaan kursi tamu</t>
  </si>
  <si>
    <t>Pengadaan almari buku</t>
  </si>
  <si>
    <t>Pemeliharaan Rutin/Berkala Peralatan Gedung Kantor</t>
  </si>
  <si>
    <t>Tersedianya dana pemeliharaan rutin/berkala peralatan gedung kantor</t>
  </si>
  <si>
    <t>Tersusunnya dokumen dokumen profil, LAKIP, Renja, Renstra, LKPJ, LPPD dan RKA/DPA</t>
  </si>
  <si>
    <t>Tersusunnya buku database Dinas Kelautan dan Perikanan</t>
  </si>
  <si>
    <t>Pengembangan perbenihan/perbibitan</t>
  </si>
  <si>
    <t>Penelitian varietas</t>
  </si>
  <si>
    <t>Pendataan sebaran kelapa genjah entog</t>
  </si>
  <si>
    <t>Pengembangan Diversifikasi Tanaman bagi petani tembakau (DBHCHT)</t>
  </si>
  <si>
    <t>cengkeh</t>
  </si>
  <si>
    <t>Peningkatan Kualitas Bahan Baku Industri Hasil Tembakau (DBHCHT)</t>
  </si>
  <si>
    <t>Rigen</t>
  </si>
  <si>
    <t>Penyediaan UPPO</t>
  </si>
  <si>
    <t>Pupuk NPK</t>
  </si>
  <si>
    <t>Pupuk KNO3</t>
  </si>
  <si>
    <t>Pembinaan kelompok</t>
  </si>
  <si>
    <t>Pembinaan, pengendalian dan pengawasan gerakan rehabilitasi hutan dan lahan</t>
  </si>
  <si>
    <t>Koordinasi penyelenggaraan reboisasi dan penghijauan hutan</t>
  </si>
  <si>
    <t>Peningkatan peran serta masyarakat dalam rehabilitasi hutan dan lahan (DAK)</t>
  </si>
  <si>
    <t>Pengkayaan Hutan Rakyat</t>
  </si>
  <si>
    <t>Pengembangan bambu</t>
  </si>
  <si>
    <t>peralatan pengolahan gula kelapa</t>
  </si>
  <si>
    <t>alat destilasi asap cair</t>
  </si>
  <si>
    <t>Pembinaan/pelatihan kelompok</t>
  </si>
  <si>
    <t>Penyuluhan kesadaran masyarakat mengenai dampak perusakan hutan</t>
  </si>
  <si>
    <t>Demplot konservasi</t>
  </si>
  <si>
    <t>Pengembangan Hutan Tanaman</t>
  </si>
  <si>
    <t>BTBT</t>
  </si>
  <si>
    <t>Pengembangan Hasil Hutan Non Kayu</t>
  </si>
  <si>
    <t>Pelatihan  Kelompok tani hutan</t>
  </si>
  <si>
    <t>kelompok tani budidaya pandan</t>
  </si>
  <si>
    <t>kelompok tani budidaya bambu</t>
  </si>
  <si>
    <t>Pengembangan Industri dan Pemasaran Hasil Hutan</t>
  </si>
  <si>
    <t>Penyediaan Jasa Surat Menyurat</t>
  </si>
  <si>
    <t>Tersedianya Jasa Surat Menyurat</t>
  </si>
  <si>
    <t>Tersedianya makanan dan minuman</t>
  </si>
  <si>
    <t>Tercukupinya kebutuhan untuk konsultasi ke luar daerah</t>
  </si>
  <si>
    <t>Tercukupinya kebutuhan untuk konsultasi dalam daerah</t>
  </si>
  <si>
    <t>Pengadaaan perlengkapan gedung kantor</t>
  </si>
  <si>
    <t>kipas angin</t>
  </si>
  <si>
    <t>AC</t>
  </si>
  <si>
    <t xml:space="preserve">Handycam </t>
  </si>
  <si>
    <t>scanner</t>
  </si>
  <si>
    <t>filling  kabinet</t>
  </si>
  <si>
    <t>meja ketik</t>
  </si>
  <si>
    <t>lemari arsip</t>
  </si>
  <si>
    <t>lemari pintu dorong</t>
  </si>
  <si>
    <t>kursi lipat</t>
  </si>
  <si>
    <t>rak besi</t>
  </si>
  <si>
    <t>Pemelliharaan rutin/berkala perlengkapan gedung kantor</t>
  </si>
  <si>
    <t>Gedung Kantor</t>
  </si>
  <si>
    <t>Renstra, RKA, DPA, Perjanjian Knerja, RENJA, LkjP, Laporan Akhir</t>
  </si>
  <si>
    <t>Dokumen Statistik Kehutanan dan Perkebunan</t>
  </si>
  <si>
    <t>Kegiatan Pelaksanaan promosi pariwisata nusantara di dalam dan di luar negeri</t>
  </si>
  <si>
    <t>Terfasilitasinya promosi pariwisata melalui media elektronik, bilboard dan even pariwisata</t>
  </si>
  <si>
    <t>Travel dialog</t>
  </si>
  <si>
    <t>Cetak brosur</t>
  </si>
  <si>
    <t>Java Promo</t>
  </si>
  <si>
    <t>Pameran</t>
  </si>
  <si>
    <t>Festival Pantai Selatan (Suwuk)</t>
  </si>
  <si>
    <t>Penyusunan Buku Nesparda</t>
  </si>
  <si>
    <t>buku</t>
  </si>
  <si>
    <t>even Pariwisata Fishing</t>
  </si>
  <si>
    <t>Lomba Senam</t>
  </si>
  <si>
    <t>Festival Layang-layang</t>
  </si>
  <si>
    <t>Festival band Pelajar</t>
  </si>
  <si>
    <t>Lomba Perahu</t>
  </si>
  <si>
    <t xml:space="preserve">Pentas kesenian </t>
  </si>
  <si>
    <t>obwis</t>
  </si>
  <si>
    <t>Festival Ambal</t>
  </si>
  <si>
    <t>Pembuatan Billboard</t>
  </si>
  <si>
    <t>Kebumen Karnival</t>
  </si>
  <si>
    <t>Lomba Fotografi</t>
  </si>
  <si>
    <t>Kegiatan Peningkatan pemanfaatan teknologi informasi dalam pemasaran pariwisata</t>
  </si>
  <si>
    <t>Terfasilitasinya pemasaran pariwisata melalui even festival pemanfaatan teknologi informasi :</t>
  </si>
  <si>
    <t>Website pariwisata</t>
  </si>
  <si>
    <t>web</t>
  </si>
  <si>
    <t>Video Competition</t>
  </si>
  <si>
    <t>Festival Film Pendek</t>
  </si>
  <si>
    <t>Mini Proyektor</t>
  </si>
  <si>
    <t>Lensa Kamera DSLR</t>
  </si>
  <si>
    <t>Drone kamera</t>
  </si>
  <si>
    <t>Lomba Starup digital pariwisata</t>
  </si>
  <si>
    <t>Blog Competition</t>
  </si>
  <si>
    <t>Pemeliharaan Hewan di Obyek Wisata</t>
  </si>
  <si>
    <t>Tersedianya  kebutuhan pakan dan obat-obatan hewan kebun binatang mini  Pantai Suwuk</t>
  </si>
  <si>
    <t>Pembinaan/ penyuluhan desa wisata</t>
  </si>
  <si>
    <t>Jumlah desa wisata yang terbentuk :</t>
  </si>
  <si>
    <t>desa/paket</t>
  </si>
  <si>
    <t>- Desa Seboro</t>
  </si>
  <si>
    <t>- Desa Pasir</t>
  </si>
  <si>
    <t>- Desa Wisata</t>
  </si>
  <si>
    <t xml:space="preserve">Jumlah desa wisata yang terbina </t>
  </si>
  <si>
    <t>Pengembangan statistik wisata terpadu</t>
  </si>
  <si>
    <t>Tersusunnya  analisis data statistik kepariwisataan Kebumen</t>
  </si>
  <si>
    <t>Peningkatan peran serta masyarakat dalam pengembangan kemitraan pariwisata</t>
  </si>
  <si>
    <t xml:space="preserve">Tersedianya Tenaga Buruh Tak Terlatih dan perlengkapannya </t>
  </si>
  <si>
    <t>Pengembangan sumber daya manusia dan profesionalisme bidang pariwisata</t>
  </si>
  <si>
    <t>Terlaksananya kegiatan pembinaan pelaku pariwisata daerah:</t>
  </si>
  <si>
    <t>Pembinaan Pokdarwis</t>
  </si>
  <si>
    <t>Pembinaan Pelaku Wisata</t>
  </si>
  <si>
    <t>Pembinaan Desa Wisata</t>
  </si>
  <si>
    <t>Pembinaan Saka panduwisata</t>
  </si>
  <si>
    <t>Study Komparasi</t>
  </si>
  <si>
    <t>Pelatihan Pemandu</t>
  </si>
  <si>
    <t>Pembinaan Kewirausahaan</t>
  </si>
  <si>
    <t>Pembinaan Pedagang</t>
  </si>
  <si>
    <t>Pembinaan pengembangan sadar wisata dan sapta pesona</t>
  </si>
  <si>
    <t>Festival Desa Wisata</t>
  </si>
  <si>
    <t>Pengembangan SDM di bidang kebudayaan dan pariwisata bekerjasama dengan lembaga lainnya</t>
  </si>
  <si>
    <t>Terselenggaranya pemilihan duta wisata (mas dan mbak kebumen)</t>
  </si>
  <si>
    <t>pasang</t>
  </si>
  <si>
    <t>Kerjasama Penanganan Kecelakaan dan Evaluasi Korban Kecelakan di Obyek wisata</t>
  </si>
  <si>
    <t>Penanganan Kecelakaan dan Evaluasi Korban Kecelakan di Obyek wisata</t>
  </si>
  <si>
    <t>Peningkatan pembangunan sarana dan prasarana pariwisata</t>
  </si>
  <si>
    <t>Pengembangansarana dan prasarana pariwisata (obyek wisata baru)</t>
  </si>
  <si>
    <t>- Penyusunan DED Pengembangan pantai Menganti</t>
  </si>
  <si>
    <t>- Penyusunan DED Jalur Kayu Mangrove</t>
  </si>
  <si>
    <t>- Pengembangan Pantai Menganti</t>
  </si>
  <si>
    <t>- Pembangunan Jalur Kayu Mangrove</t>
  </si>
  <si>
    <t>- Pembangunan Obwis Goa Jatijajar</t>
  </si>
  <si>
    <t>'- Pembangunan Obwis Goa Petruk</t>
  </si>
  <si>
    <t>'- Pembangunan Obwis Pantai Suwuk</t>
  </si>
  <si>
    <t>'- Pembangunan Obwis Pantai Logending</t>
  </si>
  <si>
    <t>'- Pembangunan Obwis Pantai Karangbolong</t>
  </si>
  <si>
    <t>'- Pembangunan Obwis Pantai Petanahan</t>
  </si>
  <si>
    <t>'- Pembangunan Obwis Waduk Sempor</t>
  </si>
  <si>
    <t>- Pembangunan Obwis Waduk Wadaslintang</t>
  </si>
  <si>
    <t>- Pembangunan Obwis PAP Krakal</t>
  </si>
  <si>
    <t>Peningkatan pembangunan sarana dan prasarana pariwisata (Banprov)</t>
  </si>
  <si>
    <t>Pengembangansarana dan prasarana pariwisata obwis logending</t>
  </si>
  <si>
    <t>Pemeliharaan sarana dan prasarana / fasilitas obyek wisata</t>
  </si>
  <si>
    <t>Terpeliharanya sarana dan prasarana / fasilitas obyek wisata :</t>
  </si>
  <si>
    <t>Pelaksanaan koordinasi pembangunan objek pariwisata dengan lembaga/dunia usaha</t>
  </si>
  <si>
    <t xml:space="preserve">Tersedianya data usaha jasa dan sarana pariwisata </t>
  </si>
  <si>
    <t xml:space="preserve">Pengembang-an, sosialisasi, dan penerapan serta pengawasan standarisasi </t>
  </si>
  <si>
    <t xml:space="preserve">Terlaksananya bimbingan usaha jasa pariwisata </t>
  </si>
  <si>
    <t>Terlaksananya intensifikasi dan ektensifikasi obyek wisata</t>
  </si>
  <si>
    <t>Kegiatan Pengembangan kesenian dan kebudayaan daerah</t>
  </si>
  <si>
    <t>Banyaknya kegiatan gelar seni budaya :</t>
  </si>
  <si>
    <t>Pentas Duta Seni TMII Jakarta</t>
  </si>
  <si>
    <t>Pentas Seni Luar Daerah</t>
  </si>
  <si>
    <t>Pentas Wayang kulit RRI Purwokerto</t>
  </si>
  <si>
    <t>Parade seni budaya Jawa Tengah</t>
  </si>
  <si>
    <t>Festival Jamjaneng</t>
  </si>
  <si>
    <t>Festival Keroncong</t>
  </si>
  <si>
    <t>Festival Rebana</t>
  </si>
  <si>
    <t>Festival Kuda Kepang</t>
  </si>
  <si>
    <t>Festival Dalang</t>
  </si>
  <si>
    <t>Festival Cepetan</t>
  </si>
  <si>
    <t>Kethoprak (HUT Kab. Kebumen)</t>
  </si>
  <si>
    <t>Gelar Seni</t>
  </si>
  <si>
    <t>Pengadaan alat kesenian</t>
  </si>
  <si>
    <t>Bantuan alat Kesenian</t>
  </si>
  <si>
    <t>Pengelolaan dan pengembangan pelestarian peninggalan sejarah purbakala, museum dan peninggalan bawah air</t>
  </si>
  <si>
    <t>Inventarisasi/Dokumentasi Benda Cagar Budaya</t>
  </si>
  <si>
    <t>Rehab Cagar Budaya</t>
  </si>
  <si>
    <t>Pembinaan juru kunci cagar budaya</t>
  </si>
  <si>
    <t>Pembuatan Papan Nama BCB</t>
  </si>
  <si>
    <t>Pengembangan Kebudayaan dan Pariwisata</t>
  </si>
  <si>
    <t>Terbangunnya tempat wisata religi</t>
  </si>
  <si>
    <t xml:space="preserve">Tercukupinya Kebutuhan surat-menyurat </t>
  </si>
  <si>
    <t xml:space="preserve">Terpenuhinya kebutuhan jasa telepon, listrik dan air </t>
  </si>
  <si>
    <t xml:space="preserve">Tercukupinya jasa pemeliharaan dan perijinan kendaraan dinas/operasional </t>
  </si>
  <si>
    <t xml:space="preserve">Terlayaninya Jasa Administrasi Keuangan  </t>
  </si>
  <si>
    <t xml:space="preserve">Tercukupinya sarana dan terciptanya kebersihan kantor dan obwis </t>
  </si>
  <si>
    <t xml:space="preserve">Tercukupinya jasa pemeliharaan perbaikan peralatan kerja </t>
  </si>
  <si>
    <t xml:space="preserve">Tercukupinya ATK untuk kantor dan obyek wisata </t>
  </si>
  <si>
    <t xml:space="preserve">Tersedianya karcis, blangko, kartu/undangan, fotocopy, jilid dan spanduk </t>
  </si>
  <si>
    <t xml:space="preserve">Tercukupinya komponen instalasi listrik dan penerangan kantor/ obyek wisata </t>
  </si>
  <si>
    <t xml:space="preserve">Tercukupinya bahan bacaan, peraturan perundang-undangan </t>
  </si>
  <si>
    <t xml:space="preserve">Terpenuhinya makan dan minum rapat/tamu/selamatan </t>
  </si>
  <si>
    <t xml:space="preserve">Terlaksananya  rapat-rapat koordinasi/ konsultasi luar daerah </t>
  </si>
  <si>
    <t xml:space="preserve">Tercukupinya Honor (PTT) Pegawai Tidak Tetap </t>
  </si>
  <si>
    <t xml:space="preserve">Tercukupinya biaya perjalanan dinas dalam daerah </t>
  </si>
  <si>
    <t>Tersedianya kendaraan dinas untuk operasional :</t>
  </si>
  <si>
    <t>- Motor Roda 2</t>
  </si>
  <si>
    <t>- Motor Roda 3</t>
  </si>
  <si>
    <t>- Mobil</t>
  </si>
  <si>
    <t>- Truck Sampah</t>
  </si>
  <si>
    <t>- Kontainer sampah dan landasan</t>
  </si>
  <si>
    <t>Tersedianya perlengkapan gedung kantor berupa :</t>
  </si>
  <si>
    <t>- Genset</t>
  </si>
  <si>
    <t>- AC</t>
  </si>
  <si>
    <t>- Alat pemadam Kebakaran</t>
  </si>
  <si>
    <t>- Kipas Angin</t>
  </si>
  <si>
    <t>- Pompa air</t>
  </si>
  <si>
    <t>- Horn Speaker</t>
  </si>
  <si>
    <t>- Megaphone</t>
  </si>
  <si>
    <t>Tersedianya peralatan gedung kantor  :</t>
  </si>
  <si>
    <t>- laptop</t>
  </si>
  <si>
    <t>- printer</t>
  </si>
  <si>
    <t>- Komputer PC</t>
  </si>
  <si>
    <t>- Mesin Ketik</t>
  </si>
  <si>
    <t>- Kamera</t>
  </si>
  <si>
    <t>- Handycam</t>
  </si>
  <si>
    <t>- LCD Projector</t>
  </si>
  <si>
    <t>- Printer Scan Uk. A3</t>
  </si>
  <si>
    <t>- UPS</t>
  </si>
  <si>
    <t xml:space="preserve">- TV </t>
  </si>
  <si>
    <t>- Scaner</t>
  </si>
  <si>
    <t>- Sound System rapat</t>
  </si>
  <si>
    <t>- PHBX</t>
  </si>
  <si>
    <t>- Printer termal</t>
  </si>
  <si>
    <t>Tersedianya sarana prasarana meubeler kantor :</t>
  </si>
  <si>
    <t>- Filling Cabinet</t>
  </si>
  <si>
    <t>- Lemari arsip</t>
  </si>
  <si>
    <t>- Rak Besi</t>
  </si>
  <si>
    <t>- Meja Eselon IV</t>
  </si>
  <si>
    <t>- Kursi Eselon IV</t>
  </si>
  <si>
    <t>- Kursi Staf</t>
  </si>
  <si>
    <t>- Kursi Tunggu</t>
  </si>
  <si>
    <t>- Meja Staf setengah biro</t>
  </si>
  <si>
    <t>- Whiteboard</t>
  </si>
  <si>
    <t>- Kursi rapat</t>
  </si>
  <si>
    <t>- Kursi Tamu/ Sofa</t>
  </si>
  <si>
    <t>- Brankas</t>
  </si>
  <si>
    <t>- Meja Komputer</t>
  </si>
  <si>
    <t>Tersedianya tanah untuk pengembangan obyek wisata :</t>
  </si>
  <si>
    <t>- Obwis Goa Jatijajar</t>
  </si>
  <si>
    <t>ubin</t>
  </si>
  <si>
    <t>Pemeliharaan rutin/ berkala perlengkapan gedung kantor</t>
  </si>
  <si>
    <t>Terpeliharanya perlengkapan gedung kantor</t>
  </si>
  <si>
    <t>Pemeliharaan rutin/ berkala mebeleur</t>
  </si>
  <si>
    <t xml:space="preserve">Terpeliharanya mebeleur </t>
  </si>
  <si>
    <t>Penyusunan dan pengum-pulan data statistik daerah</t>
  </si>
  <si>
    <t xml:space="preserve">Penyusunan database pariwisata dan kebudayaan </t>
  </si>
  <si>
    <t xml:space="preserve">Jumlah kegiatan perencanaan, evaluasi dan pelaporan kinerja SKPD </t>
  </si>
  <si>
    <t>Fasilitasi pengembangan sarana promosi hasil produksi</t>
  </si>
  <si>
    <t xml:space="preserve">Terlaksananya Fasilitasi UMKM utk mengikuti event pameran </t>
  </si>
  <si>
    <t>Penyelenggaraan pelatihan kewirausahaan</t>
  </si>
  <si>
    <t>Terlaksananya pelatihan kewirausahaan</t>
  </si>
  <si>
    <t>Penyelenggaraan pelatihan kewirausahaan (DBHCHT)</t>
  </si>
  <si>
    <t>Pengembangan kebijakan dan program peningkatan ekonomi lokal</t>
  </si>
  <si>
    <t>Terlaksananya   kelas bisnis/ pendampingan bagi UMKM</t>
  </si>
  <si>
    <t>Sosialisasi kebijakan tentang Usaha Kecil Menengah</t>
  </si>
  <si>
    <t>Meningkatnya Jumlah UMKM yang mengikuti sosialisasi program pengembangan UMKM</t>
  </si>
  <si>
    <t>Perencanaan, koordinasi, dan pengembangan Usaha Kecil Menengah</t>
  </si>
  <si>
    <t>Meningkatnya Jumlah UMKM yang mengikuti sosialisasi perijinan UMKM</t>
  </si>
  <si>
    <t>Fasilitasi pengembangan Usaha Kecil Menengah</t>
  </si>
  <si>
    <t>Terlaksananya pelatihan ketrampilan produksi</t>
  </si>
  <si>
    <t>Pelatihan Manajemen pengelolaan koperasi/KUD</t>
  </si>
  <si>
    <t>Koordinasi pelaksanaan kebijakan dan program pembangunan koperasi</t>
  </si>
  <si>
    <t>Terlaksananya bintek bagi calon anggota/calon anggota koperasi</t>
  </si>
  <si>
    <t>Peningkatan sarana dan prasarana pendidikan dan pelatihan perkoperasian</t>
  </si>
  <si>
    <t>Peningkatan dan pengembangan jaringan kerjasama usaha koperasi</t>
  </si>
  <si>
    <t>Terlaksananya sosialisasi kerjasama usaha dan fasilitasi permodalan dengan pihak ketiga</t>
  </si>
  <si>
    <t>koperasi</t>
  </si>
  <si>
    <t>Terlaksananya Monev koperasi penerima pinjaman LPDB</t>
  </si>
  <si>
    <t>Sosialisasi prinsip-prinsip pemahaman perkoperasian</t>
  </si>
  <si>
    <t>Terlaksananya bintek kelembagaan koperasi</t>
  </si>
  <si>
    <t>Pembinaan, pengawasan, dan penghargaan koperasi berprestasi</t>
  </si>
  <si>
    <t>Terlaksananya surat menyurat</t>
  </si>
  <si>
    <t>Tersedianya biaya langganan telepon, air dan listrik</t>
  </si>
  <si>
    <t xml:space="preserve">Terlaksananya pemeliharaan kendaraan dan pembelian bahan bakar minyak serta pembayaran pajak kendaraan dinas </t>
  </si>
  <si>
    <t>Terlaksananya pemberian jasa administrasi keuangan kepada pejabat penatausahaan keuangan, pejabat pelaksana teknis kegiatan dan staf administrasi</t>
  </si>
  <si>
    <t>Terlaksananya jasa perbaikan peralatan kerja</t>
  </si>
  <si>
    <t>Tersedianya barang cetakan dan penggadaan</t>
  </si>
  <si>
    <t>Tersedianya belanja alat-alat listrik dan elektronik</t>
  </si>
  <si>
    <t xml:space="preserve"> Tersedianya kebutuhan jamuan makan minum tamu rapat SKPD</t>
  </si>
  <si>
    <t>Tersedianya perlengkapan gedung yang representatif</t>
  </si>
  <si>
    <t xml:space="preserve">Terlaksananya pemeliharaan dan perawatan gedung kantor </t>
  </si>
  <si>
    <t xml:space="preserve">Terlaksananya pemeliharaan mebeleur kantor </t>
  </si>
  <si>
    <t>Tersusunnya Renja, LKPJ, RKA,LAKIP dan Laporan Monev</t>
  </si>
  <si>
    <t>Tersusunnya databese koperasi dan UMKM SKPD yang update</t>
  </si>
  <si>
    <t>DINKOP UMKM</t>
  </si>
  <si>
    <r>
      <rPr>
        <u/>
        <sz val="9"/>
        <rFont val="Bookman Old Style"/>
        <family val="1"/>
      </rPr>
      <t xml:space="preserve">Misi 3 </t>
    </r>
    <r>
      <rPr>
        <sz val="9"/>
        <rFont val="Bookman Old Style"/>
        <family val="1"/>
      </rPr>
      <t>: Mewujudkan kemandirian ekonomi daerah yang berbasis pada pertanian dalam arti luas, industri dan pariwisata yang berdaya saing dan berkelanjutan bertumpu pada pemberdayaan masyarakat</t>
    </r>
  </si>
  <si>
    <t>Kegiatan penyediaan sarana maupun prasarana klaster industri</t>
  </si>
  <si>
    <t>Rapat koordinasi Pembuatan Zona Industri</t>
  </si>
  <si>
    <t>Pembuatan kelembagaan berupa tim pembentukan kawasan industri</t>
  </si>
  <si>
    <t>Penawaran Kawasan industri ke investor</t>
  </si>
  <si>
    <t>Kawasan industri  berkembang menjadi kluster pertumbuhan industri besar</t>
  </si>
  <si>
    <t>Kawasan industri  sudah maju dan banyak menyerap tenaga kerja</t>
  </si>
  <si>
    <t>Kegiatan pengembangan pengelolaan gudang  dengan sistem resi gudang</t>
  </si>
  <si>
    <t>Banyaknya usaha pertanian yang termanfaatkan dengan sistem resi gudang</t>
  </si>
  <si>
    <t>Kegiatan peningkatan sistem dan jaringan informasi perdagangan</t>
  </si>
  <si>
    <t>Pameran, promosi dan informasi perdagangan</t>
  </si>
  <si>
    <t>Kegiatan pengembangan pasar dan distribusi barang/produk</t>
  </si>
  <si>
    <t>Monitoring harga, ketersedian dan distribusi Kepokmas di pasar rakyat</t>
  </si>
  <si>
    <t>Kegiatan pengembangan kelembagaan kerjasama kemitraan</t>
  </si>
  <si>
    <t>Terpenuhinya jasa kebersihan dan keamanan pasar</t>
  </si>
  <si>
    <t>Pemeliharaan/rehabilitasi pasar-pasar daerah</t>
  </si>
  <si>
    <t>Jumlah pasar daerah baru yang dibangun</t>
  </si>
  <si>
    <t>Renovasi/rehabilitasi pasar-pasar daerah</t>
  </si>
  <si>
    <t>Revitalisasi/pembangunan pasar daerah yang sudah ada</t>
  </si>
  <si>
    <t>Terpeliharanya pasar-pasar daerah</t>
  </si>
  <si>
    <t>Kegiatan Fasilitasi Industri kecil dan menengah terhadap pemanfaatan sumber daya</t>
  </si>
  <si>
    <t xml:space="preserve">Terlaksananya bantuan peralatan dan pelatihan untuk pengembangan SDM bagi industri kecil gula semut </t>
  </si>
  <si>
    <t>Kegiatan Pembinaan Kemampuan ketrampilan kerja bagi industri kecil menengah di lingkungan IHT dan/atau daerah penghasil bahan baku IHT</t>
  </si>
  <si>
    <t>Terlaksananya bantuan peralatan untuk IKM didaerah penghasil bahan baku IHT</t>
  </si>
  <si>
    <t>Bidang</t>
  </si>
  <si>
    <t>Kegiatan pembinaan IKM dalam memperkuat jaringan klaster industri</t>
  </si>
  <si>
    <t xml:space="preserve">Terlaksananya bantuan peralatan untuk IKM </t>
  </si>
  <si>
    <t>Kegiatan Pemberian Kemudahan izin usaha IKM</t>
  </si>
  <si>
    <t>Tercapainya pemberian ijin PIRT bagi IKM</t>
  </si>
  <si>
    <t>Ijin</t>
  </si>
  <si>
    <t>Kegiatan Pengembangan Kapasitas pranata pengukuran, standarisasi, pengujian, dan kualitas</t>
  </si>
  <si>
    <t>Fasilitasi pembuatan merek bagi IKM</t>
  </si>
  <si>
    <t>Kegiatan penerapan IKM secara in-proses</t>
  </si>
  <si>
    <t>Studi banding pelatihan penerapan teknologi untuk IKM</t>
  </si>
  <si>
    <t>Bantuan peralatan untuuk 10 IKM</t>
  </si>
  <si>
    <t>Kegiatan pembinaan kemampuan teknologi industri</t>
  </si>
  <si>
    <t>Jumlah IKM yang layak untuk mendpatkan bantuan perijian SNI/HAKI/merek barcode melalui sosialisasi</t>
  </si>
  <si>
    <t>Jumlah bantuan perizinan/pendaftaran merek  bagi ikm</t>
  </si>
  <si>
    <t>Jumlah bantuan perizinan/pendaftaranbarcode bagi ikm</t>
  </si>
  <si>
    <t>Kegiatan penyediaan sarana informasi yang dapat diakses masyarakat</t>
  </si>
  <si>
    <t>Penyediakan informasi pada sentra industri yang mudah diakses oleh masyarakat</t>
  </si>
  <si>
    <t xml:space="preserve">Kegiatan pembinaan organisasi pedagang kaki lima dan asongan </t>
  </si>
  <si>
    <t>Terlaksananya penataan, penertiban, pemberdayaan PKL dan asongan</t>
  </si>
  <si>
    <t>Kegiatan peningkatan pengawasan peredaran barang dan jasa</t>
  </si>
  <si>
    <t>Terlaksananya pengawasan terhadap barang dan jasa beredar di pasaran</t>
  </si>
  <si>
    <t>Kegiatan fasilitasi penyelesaian permasalahan-permasalahan pengaduan konsumen</t>
  </si>
  <si>
    <t>Terpenuhinya pelayanan pengaduan dan sengketa konsumen</t>
  </si>
  <si>
    <t>Kegiatan operasionalisasi dan pengembangan UPT kemetrologian daerah</t>
  </si>
  <si>
    <t>Terlaksananya tera ulang alat UTTP</t>
  </si>
  <si>
    <t>Kegiatan Pengumpulan informasi pita cukai ilegal atau tidak dilekati pita cukai</t>
  </si>
  <si>
    <t>Terlaksananya pengawasan peredaran pita cukai ilegal</t>
  </si>
  <si>
    <t>kegiatan intensifikasi dan ekstensifikasi sumber-sumber pendapatan daerah</t>
  </si>
  <si>
    <t>Intemsifikasi sumber-sumber pendapatan dari lokasi pasar daerah</t>
  </si>
  <si>
    <t>Kegiatan fasilitasi peningkatan PAD</t>
  </si>
  <si>
    <t>Peningkatan retribusi pelayanan pasar, retribusi kebersihan pasar, retribusi parkir</t>
  </si>
  <si>
    <t xml:space="preserve">lokasi </t>
  </si>
  <si>
    <t>Kegiatan legislasi rancangan peraturan perundang-undangan</t>
  </si>
  <si>
    <t>Penetapan Perda Tata letak bangunan pasar</t>
  </si>
  <si>
    <t>Penetapan Perda Pengelolaan pasar grosir dan pertokoan</t>
  </si>
  <si>
    <t>Penetapan Perda Retribusi pengelolaan pasar grosir dan pertokoan</t>
  </si>
  <si>
    <t>Penetapan Perda PKL</t>
  </si>
  <si>
    <t>Tersosialisanya Perda tentang  pasar dan PKL</t>
  </si>
  <si>
    <t>Terpenuhinya prasarana dan sarana pengelolaan persampahan</t>
  </si>
  <si>
    <t xml:space="preserve">Jumlah surat yang terkirim selama 1 tahun </t>
  </si>
  <si>
    <t>Tersedianya jasa komunikasi, sumber daya air, dan listrik</t>
  </si>
  <si>
    <t>Penyediaan jasa pemeliharan dan perijinan kendaraan dinas/ operasional</t>
  </si>
  <si>
    <t>Tercapainya pemeliharaan dan BBM kendaraan dinas</t>
  </si>
  <si>
    <t>Tercapainya penatausahaan keuangan</t>
  </si>
  <si>
    <t>Tercapainya kebersihan kantor</t>
  </si>
  <si>
    <t>Terpenuhinya perbaikan peralatan kantor</t>
  </si>
  <si>
    <t>Penyedian alat tulis kantor</t>
  </si>
  <si>
    <t>Terpenuhinya kebutuhan alat tulis kantor</t>
  </si>
  <si>
    <t>Terpenuhinya penerangan kantor</t>
  </si>
  <si>
    <t>Terpenuhinya bahan bacaan</t>
  </si>
  <si>
    <t>Terpenuhinya kebutuhan makanan dan minumam untuk rapat tamu</t>
  </si>
  <si>
    <t>Rapat-rapat koordinasi dan konsultasi keluar daerah</t>
  </si>
  <si>
    <t>Terselenggaranya perjalanan luar daerah ke pusat dan provinsi</t>
  </si>
  <si>
    <t>Penunjang administrasi kantor</t>
  </si>
  <si>
    <t>Tercapainya pemenuhan honor PTT</t>
  </si>
  <si>
    <t>Terselenggaranya perjalanan dinas dalam daerah</t>
  </si>
  <si>
    <t>Terpenuhinya kendaraan dinas operasional</t>
  </si>
  <si>
    <t>Pengadaan tanah</t>
  </si>
  <si>
    <t>Terpenuhinya lokasi tanah untuk pembangunan pasar</t>
  </si>
  <si>
    <t>Pengadaan perlengkapan kantor</t>
  </si>
  <si>
    <t>Terpenuhinya perlengkapan kantor (Ac dan Sound system)</t>
  </si>
  <si>
    <t>Terpenuhinya peralatan gedung kantor(mesin ketik lcd proyektor, PC komputer, laptop, printe</t>
  </si>
  <si>
    <t>Terpenuhinya meubel kantor Almari kaca, filling kabinet, meja kerja  kursi kerja staf, kursi eselon, sekat ukir, lemari arsip mobil</t>
  </si>
  <si>
    <t>Pemeliharaan rutin/berkala peralatan kebersihan pasar</t>
  </si>
  <si>
    <t>Tersedianya sarana dan prasarana peralatan kebersihan pasar tradisional</t>
  </si>
  <si>
    <t>Penyusunan dan pengumpulan data/informasi kebutuhan penyusunan dokumen  perencanaan</t>
  </si>
  <si>
    <t>Tersusunnya dokumen renja, renstra, LAKIP, LKPJ, LPPD, dan laporan progres target dan realisasi bulanan</t>
  </si>
  <si>
    <t>Terusunnya Dataase Perindustrian, Perdagangan dan Pasar</t>
  </si>
  <si>
    <t>Program Pemberdayaan Ekonomi Masyarakat Pesisir</t>
  </si>
  <si>
    <t>Program penataan dan penyempurnaan kebijakan sistem prosedur pengawasan</t>
  </si>
  <si>
    <t>Terpenuhinya Kendaraan dinas/operasional roda 2 dan mobil</t>
  </si>
  <si>
    <t>Terbangunnya Bes Tower Seluler</t>
  </si>
  <si>
    <t>Program Perencanaan tata Ruang</t>
  </si>
  <si>
    <t>8</t>
  </si>
  <si>
    <t>9</t>
  </si>
  <si>
    <t>10</t>
  </si>
  <si>
    <t>11</t>
  </si>
  <si>
    <t>12</t>
  </si>
  <si>
    <t>Program Pengadaan, Peningkatan Sarana dan Prasarana Rumah Sakit/Rumah Sakit Jiwa, Rumah Sakit paru-paru/Rumah Sakit mata</t>
  </si>
  <si>
    <t>Program pengendalian pemanfaatan ruang</t>
  </si>
  <si>
    <t>Pelaksanaan Akreditasi BAN-PNF</t>
  </si>
  <si>
    <t>Pengembangan kegiatan pendidikan keaksaraan pada PKBM</t>
  </si>
  <si>
    <t>PKBM</t>
  </si>
  <si>
    <t>Terlaksananya kegiatan pameran desa Vokasi</t>
  </si>
  <si>
    <t>pameran</t>
  </si>
  <si>
    <t>Terselenggaranya Paket A setara SD</t>
  </si>
  <si>
    <t>Terselenggaranya Paket B setara SMP</t>
  </si>
  <si>
    <t>Terselenggaranya Paket C setara SMA</t>
  </si>
  <si>
    <t xml:space="preserve">Pemberdayaan tenaga pendidik pada lembaga pendidikan non formal </t>
  </si>
  <si>
    <t>Apresiasi</t>
  </si>
  <si>
    <t>Terfasilitasinya Kegiatan pengembangan kecakapan hidup</t>
  </si>
  <si>
    <t>Koordinasi Dinas Kabupaten/Provinsi dengan lembaga Pendidikan non formal</t>
  </si>
  <si>
    <t>Berdirinya rintisan desa vokasi</t>
  </si>
  <si>
    <t>Jumlah peserta  Pelatihan/workshop gender</t>
  </si>
  <si>
    <t>Pelaksanaan pembelajaran kewirausahaan di bidang pendidikan formal maupun nonformal</t>
  </si>
  <si>
    <t>Berdirinya Kampung Inggris dan Kampung Arab</t>
  </si>
  <si>
    <t>Cabamg</t>
  </si>
  <si>
    <t>Terfasilitasinya penyaluran Dana Sertifikasi Pendidik</t>
  </si>
  <si>
    <t>Pendidik PAUD</t>
  </si>
  <si>
    <t>Pendidik FORMAL</t>
  </si>
  <si>
    <t>Pemberian penghargaan dan perlindungan pada pendidik/tutor PAUD</t>
  </si>
  <si>
    <t>Orang/ Tutor</t>
  </si>
  <si>
    <t>Pengawas sekolah dan penilik sekolah</t>
  </si>
  <si>
    <t>102 Pengawas dan 51 Penilik</t>
  </si>
  <si>
    <t>Terfasilitasinya pengembangan Olah raga melalui even perlombaan dan olahraga</t>
  </si>
  <si>
    <t>event</t>
  </si>
  <si>
    <t>Tersedianya sarana meubelair yang layak</t>
  </si>
  <si>
    <t>Terpenuhinya kebutuhan ruang kelas untuk pembelajaran</t>
  </si>
  <si>
    <t>Terpenuhinya kebutuhan Meja Kursi sekolah untuk pembelajaran</t>
  </si>
  <si>
    <t>Terehabilitasi nya ruang rusak sedang berat kelas sekolah</t>
  </si>
  <si>
    <t>Terehabilitasinya ruang rusak sedang berat kelas sekolah</t>
  </si>
  <si>
    <t>Pengadaan buku untuksekolah jenjang SD dan SMP</t>
  </si>
  <si>
    <t>129 SD dan 127 SMP</t>
  </si>
  <si>
    <t>Pendirian gedung sekolah baru</t>
  </si>
  <si>
    <t>27 SMA + 65 SMK</t>
  </si>
  <si>
    <t xml:space="preserve"> Rp. 000,-</t>
  </si>
  <si>
    <t>Belanja Bantuan Sosial Pendidikan -Bantuan Beasiswa bagi siswa kurang mampu S1</t>
  </si>
  <si>
    <t>Prosentase Penduduk  yang berpendidikan tinggi (S1 ke atas)</t>
  </si>
  <si>
    <t>Jumlah pemuda yang difasilitasi dalam kegiatan skala regional dan nasional</t>
  </si>
  <si>
    <t>Tersedianya dokumen database perangkat daerah</t>
  </si>
  <si>
    <t>Tersedianya data perencanaan dan evaluasi pelaksanaan pembangunan pada perangkat daerah</t>
  </si>
  <si>
    <t xml:space="preserve">Prosentase pendidik berkualifikasi S1 </t>
  </si>
  <si>
    <t>Persentase Gedung SD/SMP atau sedarajat dalam kondisi baik</t>
  </si>
  <si>
    <t>Tertanganinya kasus TB Paru, diare dan DBD</t>
  </si>
  <si>
    <t>Prosentase ibu hamil dan remaja putri yang mendapat tablet tambah darah (TTD)</t>
  </si>
  <si>
    <t>Tercukupinya obat dan perbekalan kesehatan di tempat pelayanan kesehatan dasar</t>
  </si>
  <si>
    <t>Puskesmas</t>
  </si>
  <si>
    <t>Tingkat ketersediaan obat dan perbekalan kesehatanyang memenuhi standar di fasilitas pelayanan dasar kesehatan</t>
  </si>
  <si>
    <t>Persentase Puskesmas yang tersedia kebutuhan obat dan perbekalan kesehatan yang memenuhi standar/Jumlah Puskesmas x 100</t>
  </si>
  <si>
    <t>Terlaksana Rehabilitasi Puskesmas dan jaringannya utk menjadi puskesmas rawat inap</t>
  </si>
  <si>
    <t>Banyaknya Puskesmas yang memiliki sarana dan prasarana untuk pelayanan rawat inap</t>
  </si>
  <si>
    <t>Nilai Survey Kepuasan Masyarakat terhadap Pelayanan Kesehatan</t>
  </si>
  <si>
    <t>angka</t>
  </si>
  <si>
    <t>Program Pengembangan data /Informasi</t>
  </si>
  <si>
    <t>Tersedianya dokumen perencanaan dan evaluasi pelaksanaan pembangunan Perangkat daerah</t>
  </si>
  <si>
    <t>INDIKATOR SASARAN (Indikator Kinerja Utama Daerah)</t>
  </si>
  <si>
    <t>URUSAN PEMERINTAHAN DAN PROGRAM PRIORITAS/ RUMUS PERHITUNGAN IKU DAERAH</t>
  </si>
  <si>
    <t xml:space="preserve">Prosentase SMA/MA/SMK terakreditasi </t>
  </si>
  <si>
    <t>Terseleksinya Calon kepala sekolah yang memenuhi standar</t>
  </si>
  <si>
    <t>Jumlah cabang olahraga yang mendapatkan kejuaraan/Jumlah cabang olahraga yang mewakili kabupaten x 100 %</t>
  </si>
  <si>
    <t xml:space="preserve">Jumlah pemuda mengikuti kegiatan kepemudaan skala regional dan nasional/Jumlah rencana kegiatan kepemudaan skala regional dan nasional x 100% </t>
  </si>
  <si>
    <t>Jumlah Prosentase capaian seluruh program/jumlah program</t>
  </si>
  <si>
    <t>Rata-rata lamanya hidup dalam sekelompok penduduk</t>
  </si>
  <si>
    <t>Nilai kinerja kesehatan BLUD RSUD Sudirman (AAA=9, AA=8, A=7, BBB=6, BB=5, B=4, CCC=3, CC=2, C=1)</t>
  </si>
  <si>
    <t>Tersedianya dokumen perencanaan dan evaluasi pembangunan perangkat daerah</t>
  </si>
  <si>
    <t xml:space="preserve">terlaksananya pelayanan publik bidang administrasi kependudukan di Kabupaten Kebumen </t>
  </si>
  <si>
    <t>Persentase luas wilayah pemanfaatan ruang yang sesuai dengan RTRW Kabupaten (=Jumlah Luas wilayah pemanfaatan ruang sesuai RTRW Kabupaten/ Luas wilayah Kabupaten x 100%)</t>
  </si>
  <si>
    <t>Berkurangnya angka kemiskinan menjadi 15,45% pada tahun 2021</t>
  </si>
  <si>
    <t>Tersedianya data perencanaan dan evaluasi pembangunan perangkat daerah</t>
  </si>
  <si>
    <t>Tersedianya database perangkat daerah</t>
  </si>
  <si>
    <t>Jumlah kunjungan perpustakaan / Jumlah populasi yang harus dilayani ) x 100 %</t>
  </si>
  <si>
    <t>Cakupan pelayanan KB Aktif</t>
  </si>
  <si>
    <t xml:space="preserve">Jumlah organisasi perempuan yang berpartisipasi dalam pembangunan desa </t>
  </si>
  <si>
    <t>Tersedianya dokumen perencanaan dan evaluasi pelaksanaan pembangunan pada perangkat daerah</t>
  </si>
  <si>
    <t>Tersedianya database prangkat daerah</t>
  </si>
  <si>
    <t>Penurunan Kasus Pelanggaran perda</t>
  </si>
  <si>
    <t xml:space="preserve">Jumlah kasus pelanggaran Perda </t>
  </si>
  <si>
    <t>Terfasilitasinyupaya pemantauan keamanan dan kenyamanan lingkungan</t>
  </si>
  <si>
    <t>Terfasilitasinya upaya pencegahan tindak kriminal</t>
  </si>
  <si>
    <t xml:space="preserve">Hasil penilaian laporan akuntabilitas kinerja pemerintah (D = 1, C = 2, CC = 3, B = 4, A = 5, AA = 6) </t>
  </si>
  <si>
    <t>Nilai akuntabilitas kinerja</t>
  </si>
  <si>
    <t>CC</t>
  </si>
  <si>
    <t>B</t>
  </si>
  <si>
    <t>Jumlah aparatur yang meningkat kapasitasnya</t>
  </si>
  <si>
    <t>Prosentase aparatur desa yang meningkat kapasitasnya</t>
  </si>
  <si>
    <t>Tersedianya honor PTT</t>
  </si>
  <si>
    <t>Tersusunnya laporan capaian kinerja dan ikhtisar realisasi kinerja SKPD</t>
  </si>
  <si>
    <t>Terpeliharanya rumah dinas</t>
  </si>
  <si>
    <t>terpeliharanya gedung kantor</t>
  </si>
  <si>
    <t>terpeliharanya mebeleur</t>
  </si>
  <si>
    <t>Tersusunnya Database perangkat daerah</t>
  </si>
  <si>
    <t>Tersedianya Database perangkat daerah</t>
  </si>
  <si>
    <t>Tersedianya dokumen perencanaan dan evaluasi pembangunan pada perangkat daerah</t>
  </si>
  <si>
    <t>Capaian Realisasi belanja</t>
  </si>
  <si>
    <t>Capaian Penerbitan Dokumen keuangan daerah tepat waktu</t>
  </si>
  <si>
    <t>Persentase penduduk usia 15 tahun ke atas yang bisa membaca dan menulis serta mengerti sebuah kalimat sederhana dalam kehidupan sehari-hari ( = JUMLAH PENDUDUK USIA 15 TAHUN KE ATAS YANG BISA MEMBACA DAN MENULIS / JUMLAH PENDUDUK USIA 15 TAHUN KE ATAS X 100% )</t>
  </si>
  <si>
    <t>Indeks survey layanan pendidikan</t>
  </si>
  <si>
    <t>(Nilai PDRB ADHK tahun n - Nilai PDRB ADHK tahun n-1/ Nilai PDRB ADHK tahun n-1 x 100%)</t>
  </si>
  <si>
    <t>Pertumbuhan ekonomi (ADHK)</t>
  </si>
  <si>
    <t>Jumlah PNS dan BUMD yang menyalurkan zakatnya melalui Kelembagaan BAZ/ Jumlah total PNS) x 100%</t>
  </si>
  <si>
    <t>Tercapainya pengembangan budaya kerja di setiap unit skpd Kabupaten Kebumen</t>
  </si>
  <si>
    <t xml:space="preserve">angka </t>
  </si>
  <si>
    <t>Persentase peningkatan investasi PMA/PMDN</t>
  </si>
  <si>
    <t>Tersusunnya dokumen perencanaan dan evaluasi pelaksanaan pembangunan pada perangkat daerah</t>
  </si>
  <si>
    <t>bertambahnya jumlah produksi bibit sapi</t>
  </si>
  <si>
    <t>Ditetapkannya perda/raperda</t>
  </si>
  <si>
    <t>Jumlah BUMD sehat / jumlah BUMD) x 100%</t>
  </si>
  <si>
    <t>TOTAL anggaran disparbud</t>
  </si>
  <si>
    <t>Tersedianya Database Perangkat daerah</t>
  </si>
  <si>
    <t>Ditetapkannya perda baru</t>
  </si>
  <si>
    <r>
      <t>Pemantauan dan penyebarluasan informasi potensi bencana alam</t>
    </r>
    <r>
      <rPr>
        <i/>
        <sz val="9"/>
        <rFont val="Bookman Old Style"/>
        <family val="1"/>
      </rPr>
      <t xml:space="preserve"> </t>
    </r>
  </si>
  <si>
    <r>
      <t>Pelatihan pengendalian keamanan dan kenyamanan lingkungan</t>
    </r>
    <r>
      <rPr>
        <i/>
        <sz val="9"/>
        <rFont val="Bookman Old Style"/>
        <family val="1"/>
      </rPr>
      <t xml:space="preserve"> </t>
    </r>
  </si>
  <si>
    <t>Tersusunnya sistem informasi database jembatan</t>
  </si>
  <si>
    <t>Meningkatnya jumlah GOR di kabupaten Kebumen</t>
  </si>
  <si>
    <t>Indeks Kualitas Lingkungan Hidup = ( 40% Indeks Tutupan Hutan + 30% Indeks Kualitas Air   +  30% Indeks Kualitas Udara)</t>
  </si>
  <si>
    <t>fasilitasi PNPM mandiri, PPIP, dan PAMSIMAS</t>
  </si>
  <si>
    <t>Tersedianya dokumen perencanaan dan evaluasi pelaksanaan pembangunan</t>
  </si>
  <si>
    <t xml:space="preserve">Prosentase peningkatan perlindungan perumahan penduduk dan areal persawahan serta areal pariwisata beserta infrastrukturnya dari bencana banjir dan abrasi  </t>
  </si>
  <si>
    <t>Program Pembangunan Turap/Talud/Bronjong</t>
  </si>
  <si>
    <t>Program Pengembangan data /informasi</t>
  </si>
  <si>
    <t>Total anggaran SDA ESDM</t>
  </si>
  <si>
    <t>Program Penataan Peraturan perundang-undangan</t>
  </si>
  <si>
    <t>Tersedianya dokumen perencanaan dan evaluasi pelaksanaan pembangunan perangkat daerah</t>
  </si>
  <si>
    <t>Ditetapkannya Perda/raperda</t>
  </si>
  <si>
    <t>Jumlah desa tangguh bencana/ Jumlah desa rawan bencanax 100%</t>
  </si>
  <si>
    <t>Jumlah desa yang tangguh bencana</t>
  </si>
  <si>
    <t>Berfungsinya kembali  sarana/prasarana umum dan prasarana milik masyarakat yang rusak akibat bencana</t>
  </si>
  <si>
    <t>Peningkatan peran serta masyarakat  dalam pengendalian dan penanggulangan bencana</t>
  </si>
  <si>
    <t>Penanganan kerusakan infrastruktur akibat bencana</t>
  </si>
  <si>
    <t>Prosentase tertanganinya sarana/prasarana umum dan prasarana milik masyarakat yang rusak akibat bencana</t>
  </si>
  <si>
    <t>Jumlah Prasarana umum dan prasarana milik massyarakat tertangani/jumlah prasarana umum dan milik masyarakat yang rusak akibat bencana)*100</t>
  </si>
  <si>
    <t>Jumlah pegawai yang menigkat kapasitasnya</t>
  </si>
  <si>
    <t>TOTAL ANGGARAN BPBD</t>
  </si>
  <si>
    <t>Kegiatan Penyusunan RIPIDA</t>
  </si>
  <si>
    <t>Tersusunnya Masterplan kawasan Industri dan Dokumen Rencana Induk Industri Daerah Kab.Kebumen</t>
  </si>
  <si>
    <r>
      <rPr>
        <u/>
        <sz val="9"/>
        <rFont val="Bookman Old Style"/>
        <family val="1"/>
      </rPr>
      <t>Misi 4</t>
    </r>
    <r>
      <rPr>
        <sz val="9"/>
        <rFont val="Bookman Old Style"/>
        <family val="1"/>
      </rPr>
      <t xml:space="preserve"> : Meningkatkan perekonomian daerah yang memiliki daya saing tinggi berbasis pertanian, industri, perikanan, pariwisata dan budaya melalui proses pembangunan ekonomi yang berkesinambungan dalam rangka meningkatkan kesejahteraan dan mengurangi kemiskinan</t>
    </r>
  </si>
  <si>
    <t>Capaian Skor Pola Pangan Harapan</t>
  </si>
  <si>
    <t>Terpeliharanya Sarana pemasaran hasil produksi peternakan</t>
  </si>
  <si>
    <t>Program Pengembangan data/informasi/Statistik Daerah</t>
  </si>
  <si>
    <t>Bertambahnya Sarana dan Prasara Aparatur</t>
  </si>
  <si>
    <t>Capaian jalan dalam kondisi mantap (sedang dan baik)</t>
  </si>
  <si>
    <t>Capaian jalan  dalam kondisi mantap (sedang dan baik)</t>
  </si>
  <si>
    <t>Tersedianya database perangkat daerah tentang infrastruktur</t>
  </si>
  <si>
    <t>Tersedianya perencanaan dan evaluasi pelaksanaan pembangunan pada perangkat daerah</t>
  </si>
  <si>
    <t>Jumlah Pegawai yang meningkat kapasitasnya</t>
  </si>
  <si>
    <t>Jumlah pegawai yang meningkat kapasitasnya</t>
  </si>
  <si>
    <t>Penempatan tenaga kerja/pencari kerja yang terdaftar x 100%</t>
  </si>
  <si>
    <t>Prosentase peningkatan produksi  hortikultura</t>
  </si>
  <si>
    <t>Program/ Kegiatan</t>
  </si>
  <si>
    <t>Indikator Program (Outcome) dan Indikator Kegiatan (Output)</t>
  </si>
  <si>
    <t>Kondisi awal peren-canaan (Akhir 2015)</t>
  </si>
  <si>
    <t>Target kinerja program dan kegiatan pendanaan</t>
  </si>
  <si>
    <t xml:space="preserve">Kondisi kinerja pd akhir periode perenca-naan (Akhir 2021) </t>
  </si>
  <si>
    <t xml:space="preserve">Lokasi                </t>
  </si>
  <si>
    <t>Rp(000)</t>
  </si>
  <si>
    <t>1. KECAMATAN KEBUMEN</t>
  </si>
  <si>
    <t>Prosentase capaian pelayanan Kecamatan</t>
  </si>
  <si>
    <t>Program pelayanan Administrasi Perkantoran</t>
  </si>
  <si>
    <t>Tercukupinya  jasa surat menyurat</t>
  </si>
  <si>
    <t>Penyediaan jasa pemeliharaan dan perijinan kendaraan dinas / operasional</t>
  </si>
  <si>
    <t>Penyediaan bahan bacaan dan peraturan perundang - undangan</t>
  </si>
  <si>
    <t>Rapat - Rapat Koordinasi dan konsultasi dalam daerah</t>
  </si>
  <si>
    <t>Bertambahnya  sarana prasarana aparatur yang memadai</t>
  </si>
  <si>
    <t>Terpeliharanya sarana prasarana aparatur yang ada</t>
  </si>
  <si>
    <t>Pengadaan mebelair</t>
  </si>
  <si>
    <t>Pengadaan mebeler</t>
  </si>
  <si>
    <t>Pengadaan Sarpras kantor</t>
  </si>
  <si>
    <t>Pengadaan Sarpras</t>
  </si>
  <si>
    <t>Pemeliharaan rutin / berkala rumah dinas</t>
  </si>
  <si>
    <t>terpeliharanya rumah dinas</t>
  </si>
  <si>
    <t>Pemeliharaan Rutin / Berkala gedung kantor</t>
  </si>
  <si>
    <t>Pemeliharaan Rutin / Berkala meubelair</t>
  </si>
  <si>
    <t>terpeliharanya meubelair</t>
  </si>
  <si>
    <t xml:space="preserve">Program Pengembangan Data /Informasi </t>
  </si>
  <si>
    <t>Tersedianya dokumen perencanaan dan evaluasi pembangunan kecamatan</t>
  </si>
  <si>
    <t>terususunnya Renja Kec dan LAKIP Kec</t>
  </si>
  <si>
    <t>Program Pengembangan Data/Informasi/Statistik</t>
  </si>
  <si>
    <t>Tersedianya database kecamatan</t>
  </si>
  <si>
    <t>tersusunnya database kec.</t>
  </si>
  <si>
    <t xml:space="preserve">Program perencanaan pembangunan </t>
  </si>
  <si>
    <t>Tersusunnya dokumen perencanaan kewilayahan yang partisipatif</t>
  </si>
  <si>
    <t>Tersusunnya dokumen IPMD yang sesuai ketentuan</t>
  </si>
  <si>
    <t>Penyelenggaraan Musrenbangcam</t>
  </si>
  <si>
    <t>Fasilitasi musrenbangcam</t>
  </si>
  <si>
    <t>Rakor dan Inventarisasi Proyek Masuk Desa (IPMD)</t>
  </si>
  <si>
    <t>Inventarisasi ke desa-desa</t>
  </si>
  <si>
    <t xml:space="preserve">Tersedianya sarana layanan informasi arsip </t>
  </si>
  <si>
    <t>Program Peningkatan Sistem Pengawasan internal dan pengendalian pelaksanaa  kebijakan KDH</t>
  </si>
  <si>
    <t>Pembangan pengelolaan keuangan daerah</t>
  </si>
  <si>
    <t xml:space="preserve">Fasilitasi Penyelenggaraan Administrasi Terpadu Kecamatan (PATEN) </t>
  </si>
  <si>
    <t>Terlaksananya Pelayanan Administrasi Terpadu Kecamatan (PATEN)</t>
  </si>
  <si>
    <t>Intensifikasi  dan ekstensifikasi  pendapatan lain-lain daerah</t>
  </si>
  <si>
    <t>Intensifikasi dan ekstensifikasi pendapan lain-lainekstensifikasi pendapatan lain-lain</t>
  </si>
  <si>
    <t>Prosentase desa yang menyusun dokumen APBDes yang transparan dan sesuai RKP Des</t>
  </si>
  <si>
    <t>Fasilitasi APB des</t>
  </si>
  <si>
    <t>Fasilitasi penyusunan APBDes</t>
  </si>
  <si>
    <t xml:space="preserve">Fasilitasi program pembangunan  </t>
  </si>
  <si>
    <t>Terfasilitasinya program pembangunan  desa/kelurahan</t>
  </si>
  <si>
    <t>Fasilitasi program pembangunan  perdesaan</t>
  </si>
  <si>
    <t>Terlaksananya pendampingan desa</t>
  </si>
  <si>
    <t>Fasilitasi program- program Pembangunan yang masuk ke desa ( ADD)</t>
  </si>
  <si>
    <t>Pembinaan dan fasilitasi kepada desa tentang program-program pembangunan masuk desa</t>
  </si>
  <si>
    <t>Tersedianya dokumen perencanaan pembangunan desa yang mendukung percepatan gulkin</t>
  </si>
  <si>
    <t>Program Pelayanan dan rehabilitasi Kesejahteraan sosial</t>
  </si>
  <si>
    <t>Pelayanan dan perlindungan hukum bagikorban eksploitasi perdagangan perempuan dan anak</t>
  </si>
  <si>
    <t>Fasilitasi TKP2KDes</t>
  </si>
  <si>
    <t>Rapat Koordinasi TKP2Kdes</t>
  </si>
  <si>
    <t>Jumlah organisasi masyarakat dan  organisasi pemuda yang berperan dalam pembangunan</t>
  </si>
  <si>
    <t>Program Peningkatan Peran Serta kepemudaan</t>
  </si>
  <si>
    <t>Jumlag organisasi yang terbina</t>
  </si>
  <si>
    <t>Pembinaan sosial masyarakat</t>
  </si>
  <si>
    <t>Jml orgnisasi sosial yang terbina</t>
  </si>
  <si>
    <t>Program Peningkatan Keamanan dan kenyamanan lingkungan</t>
  </si>
  <si>
    <t>Menurunnya jumlah  kasus kriminalitas</t>
  </si>
  <si>
    <t>Pelatihan Pengendalian Keamanan dan Kenyamanan lingkungan</t>
  </si>
  <si>
    <t>Petugas keamanan yang terlatih</t>
  </si>
  <si>
    <t>Jumlah pelajar yang terlatih  nilai-nilai luhur budaya bangsa</t>
  </si>
  <si>
    <t>Program Pengembangan Wawasan Kebangsaan</t>
  </si>
  <si>
    <t>pelatihan paskibra tingkat kecamatan</t>
  </si>
  <si>
    <t xml:space="preserve">Prosentase warga yang berperan dalam politik </t>
  </si>
  <si>
    <t>Program peningkatan Keberdayaan Masyaraat perdesaan</t>
  </si>
  <si>
    <t>Fasilitasi Pemilihan Kepala Desa</t>
  </si>
  <si>
    <t>Monitoring Pilkades</t>
  </si>
  <si>
    <t>Jumlah organisasi perempuan tingkat desa yang aktif</t>
  </si>
  <si>
    <t xml:space="preserve">Program peningkatan peran perempuan di perdesaan </t>
  </si>
  <si>
    <t>Jumlah PKK terbina</t>
  </si>
  <si>
    <t>KELURAHAN PANJER</t>
  </si>
  <si>
    <t>Kelurahan Panjer</t>
  </si>
  <si>
    <t>Terbangunnya Gedung Sekolah Pendidikan Anak Usia Dini (PAUD)</t>
  </si>
  <si>
    <t>Pengadaan Peralatan Permainan Edukatif bagi Peserta Didik</t>
  </si>
  <si>
    <t>Program Upaya Kesehatan Masyarakat</t>
  </si>
  <si>
    <t>Terlaksanya Pemberian Makanan Tambahan</t>
  </si>
  <si>
    <t>Terpeliharaya prasarana dan fasilitas umum pelayanan publik</t>
  </si>
  <si>
    <t>Terlaksananya Rehabilitasi Rumah Tidak Layak Huni (RTLH) di Wilayah Kelurahan Panjer</t>
  </si>
  <si>
    <t>Tersedianya Dokumen RENJA, RKA dan DPA</t>
  </si>
  <si>
    <t>Program perencanaan pembangunan daerah</t>
  </si>
  <si>
    <t>Terselenggaranya MUSRENBANGDES/KEL dengan peserta 65 orang</t>
  </si>
  <si>
    <t>Terlaksananya Pendataan dan Pengentrian PMKS</t>
  </si>
  <si>
    <t>Terlaksananya Fasilitasi TKP2KDes/Kel</t>
  </si>
  <si>
    <t>RW</t>
  </si>
  <si>
    <t>Program peningkatan peran serta kepemudaan</t>
  </si>
  <si>
    <t>Terfasilitasinya kegiatan organisasi kepemudaan</t>
  </si>
  <si>
    <t>Terselenggaranya Pelatihan Pengendalian Keamanan dan Kenyamanan Lingkungan dan Pengadaan Seragam LINMAS untuk Anggota LINMAS</t>
  </si>
  <si>
    <t>Tersediannya Biaya Pelaksanaan Pembinaan Kelembagaan RT/RW</t>
  </si>
  <si>
    <t>Terbinanya Pengurus RT dan RW sebanyak 60 orang</t>
  </si>
  <si>
    <t>Terselenggaranya Pembinaan PKK</t>
  </si>
  <si>
    <t>KELURAHAN SELANG</t>
  </si>
  <si>
    <t>Kelurahan Selang</t>
  </si>
  <si>
    <t>Tercukupinya pakaian kerja lapangan/Hansip/ Linmas Kelurahan Selang</t>
  </si>
  <si>
    <t>Tersedianya APE dalam dan APE Luar Paud Kasih Ibu Selang</t>
  </si>
  <si>
    <t>Terlaksananya Pemberian Makanan Tambahan bagi Balita di 10 Posyandu Selang</t>
  </si>
  <si>
    <t>Program Pengembangan Lingkungan Sehat</t>
  </si>
  <si>
    <t>Terlaksananya kegiatan Jumantik di 10 RW di Kel.Selang</t>
  </si>
  <si>
    <t>Terselenggaranya Pemeliharaan Prasarana fasum pelayanan publik</t>
  </si>
  <si>
    <t>Terbangunnya RTLH di Kelurahan Selang</t>
  </si>
  <si>
    <t>Terselenggarakannya Musrenbang Kelurahan Selang</t>
  </si>
  <si>
    <t>Terlaksananya Operasional dan Pemeliharaan Prasarana dan Sarana Persampahan di Kelurahan Selang</t>
  </si>
  <si>
    <t>Program keserasian Kebijakan Peningkatan Kualitas Anak dan Perempuan</t>
  </si>
  <si>
    <t>Terselenggaranya Fasilitasi KPA Kelurahan Selang</t>
  </si>
  <si>
    <t>Terpenuhinya Peningkatan pelayanan sarana dan prasarana rehabilitasi sosial bagi PMKS 2 tenaga operator komputer dan 2 operator Viar Sampah kel. Selang</t>
  </si>
  <si>
    <t>Terlaksananya pembinaan kepemudaan</t>
  </si>
  <si>
    <t>Terselenggaranya rapat koordinasi RT/RW dan LKMK</t>
  </si>
  <si>
    <t>Terlaksananya pembinaan PKK Kelurahan Selang</t>
  </si>
  <si>
    <t>KELURAHAN TAMANWINANGUN</t>
  </si>
  <si>
    <t>Kelurahan Tamanwinangun</t>
  </si>
  <si>
    <t>Tersedianya prasarana pendidikan anak usia dini</t>
  </si>
  <si>
    <t>Terfasilitasinya tim percepatan penyehatan lingkungan dan kader</t>
  </si>
  <si>
    <t>Terbangunnya Rumah Tidak Layak Huni</t>
  </si>
  <si>
    <t>Terpeliharanya prasarana dan fasilitas umum</t>
  </si>
  <si>
    <t>Tersedianya lingkungan perumahan yang sehat</t>
  </si>
  <si>
    <t>Tersedianya fasilitas penyusunsn dokumen Renja RKA DPA</t>
  </si>
  <si>
    <t>Terselenggaranya Musrenbangkel</t>
  </si>
  <si>
    <t>Tresedianya dana Operasional Persampahan</t>
  </si>
  <si>
    <t>Tersedianya dana pendataan dan pengentri PMKS</t>
  </si>
  <si>
    <t>Terfasilitasinya TKP2KDes/Kel</t>
  </si>
  <si>
    <t>Tersedianya biaya pembinaan organisasi kepemudaan</t>
  </si>
  <si>
    <t>Tersedianya pelatihan pengendalian dan kenyamanan lingkungan</t>
  </si>
  <si>
    <t>Tersedianya biaya pelaksanaan pembinaan kelembagaan RT/RW</t>
  </si>
  <si>
    <t>Tersedianya Pembinaan PKK,Pembinaan KPAK</t>
  </si>
  <si>
    <t>KELURAHAN KEBUMEN</t>
  </si>
  <si>
    <t>Kelurahan Kebumen</t>
  </si>
  <si>
    <t>Terlaksananya pemeliharaan prasarana dan fasilitas umum</t>
  </si>
  <si>
    <t>Terlaksananya Musrenbangkel</t>
  </si>
  <si>
    <t>Terfasilitasinya TKP2K Kel</t>
  </si>
  <si>
    <t>Terbinanya organisasi pemuda kelurahan</t>
  </si>
  <si>
    <t>Terlaksananya pembinaan PKK</t>
  </si>
  <si>
    <t>Terlaksananya Penyusunan data base dan Profil Kelurahan</t>
  </si>
  <si>
    <t>KELURAHAN BUMIREJO</t>
  </si>
  <si>
    <t>Kelurahan Bumirejo</t>
  </si>
  <si>
    <t>Tersedianya alat permainan edukatif  (APE)</t>
  </si>
  <si>
    <t>Tersedianya makanan  Balita dan lansia</t>
  </si>
  <si>
    <t>Terpeliharanya prasarana dan fasilitasi umum pelayanan publik</t>
  </si>
  <si>
    <t>Tercapainya pogram perumahan tidak layak huni</t>
  </si>
  <si>
    <t>Terselenggaranya musrenbangkel</t>
  </si>
  <si>
    <t>Terfasilitasinya TKP2KKel Bumirejo</t>
  </si>
  <si>
    <t>Program Peningkatan Kesempatan Kerja</t>
  </si>
  <si>
    <t>tercapainya program kerja</t>
  </si>
  <si>
    <t>Terbinanya organisasi kepemudaan</t>
  </si>
  <si>
    <t>Terpenuhinya tenaga pengendali keamanan kenyamanan lingkungan</t>
  </si>
  <si>
    <t>Terlaksananya  pengadaan pakaian Linmas</t>
  </si>
  <si>
    <t>tercapainya prgram Kegiatan RT RW di Kel.Bumirejo</t>
  </si>
  <si>
    <t>Terbinanya PKK</t>
  </si>
  <si>
    <t>2. Kecamatan Alian</t>
  </si>
  <si>
    <t>Persentase capaian pelayanan kecamatan</t>
  </si>
  <si>
    <t>Terpenuhinya sarana prasarana untuk pelayanan administrasi perkantoran</t>
  </si>
  <si>
    <t>ok</t>
  </si>
  <si>
    <t>Tersusunnya Renja, Renstra, LAKIP, LKPJ dan Evaluasi Renja</t>
  </si>
  <si>
    <t>Program Pengembangan Data/informasi/ staistik</t>
  </si>
  <si>
    <t>Tersedianya database Kecamatan</t>
  </si>
  <si>
    <t>Penyusunan Database dan Profil Desa /Kecamatan</t>
  </si>
  <si>
    <t>Terlaksanananya pengembangan data/informasi/statistik daerah</t>
  </si>
  <si>
    <t>Terlaksananya perencaaan pembangunan daerah</t>
  </si>
  <si>
    <t>Terlaksananya musrenbang tingkat kecamatan</t>
  </si>
  <si>
    <t>Terinventarisnya program/proyek masuk desa</t>
  </si>
  <si>
    <t>Prosentase pengajuan layanan KTP dan perijinan yang tertangani</t>
  </si>
  <si>
    <t>Fasilitasi penyelenggaraan pelayanan administrasi terpadu kecamatan (PATEN)</t>
  </si>
  <si>
    <t>Terlaksananya pelayanan publik</t>
  </si>
  <si>
    <t>Prosentase desa yang menyusun dokumen APBDes yang transparan dan sesuai RKP Desa</t>
  </si>
  <si>
    <t>Fasilitasi program- program Pembangunan yang masuk ke desa</t>
  </si>
  <si>
    <t>Program pelayanan dan rehabilitasi kesejahteraan sosial</t>
  </si>
  <si>
    <t>Fasilitasi TKP2KDes/Kel</t>
  </si>
  <si>
    <t>Terlaksananya pendataan rumah tangga miskin oleh TKP2KDes</t>
  </si>
  <si>
    <t>Pembinaan soaial masyarakat</t>
  </si>
  <si>
    <t>Terlaksananya kegiatan hari jadi kabupaten kebumen, hari-hari besar keagamaan</t>
  </si>
  <si>
    <t>Program pengembangan wawasan kebangsaan</t>
  </si>
  <si>
    <t>Persentase pengembangan wawasan kebangsaan</t>
  </si>
  <si>
    <t>Terselenggaranya kegiatan HUT Proklamasi Kemerdekaan RI di Kecamatan Alian</t>
  </si>
  <si>
    <t>Persentase peningkatan peran perempuan di perdesaan</t>
  </si>
  <si>
    <t>Terlaksananya peminaan TP PKK Kecamatan dan desa binaan</t>
  </si>
  <si>
    <t>Fasilitasi Pemilihan Kepala Desa/Perangkat Desa</t>
  </si>
  <si>
    <t>Terwujudnya Pelaksanaan Pemilihan Kepala Desa</t>
  </si>
  <si>
    <t>Banyaknya masyarakat desa yang berperan dalam pencegahan dini penanngulangan korban bencana alam</t>
  </si>
  <si>
    <t>Program pencegahan dini dan penanggulangan korban bencana alam</t>
  </si>
  <si>
    <t>Pelatihan penanggulangan bencana</t>
  </si>
  <si>
    <t>Tercapainya pelatihan penanggulangan bencana</t>
  </si>
  <si>
    <t>3. Kecamatan Karangsambung</t>
  </si>
  <si>
    <t>terlaksanannya pengadaan perlengkapan kantor</t>
  </si>
  <si>
    <t>Pengadaan meja kursi</t>
  </si>
  <si>
    <t>Pengadaan komputer (laptop)</t>
  </si>
  <si>
    <t>Program Pengembangan Data/Informasi/ Statistik</t>
  </si>
  <si>
    <t>Program Peningkatan Kapasitas Aparatur Pemdes</t>
  </si>
  <si>
    <t>meningkatnya kapasitas aparatur Pemdes</t>
  </si>
  <si>
    <t>Pembinaan administrasi desa</t>
  </si>
  <si>
    <t>terbinanya administrasi desa</t>
  </si>
  <si>
    <t>Program Penyelamatan dan Pelestarian Dokumen/Arsip daerah</t>
  </si>
  <si>
    <t>terselamatkannya dokumen/arsip daerah</t>
  </si>
  <si>
    <t>Pendataan dan Penataan Dokumen/Arsip Daerah</t>
  </si>
  <si>
    <t>tertatanya Arsip Kecamatan</t>
  </si>
  <si>
    <t xml:space="preserve">Program Peningkatan Sistem Pengawasan </t>
  </si>
  <si>
    <t>Fasilitasi PATEN</t>
  </si>
  <si>
    <t>Terfasilitasinya kegiatan PATEN</t>
  </si>
  <si>
    <t>Penyusunan SOP Pelayanan dan IKM</t>
  </si>
  <si>
    <t>tersusunnya SOP Pelayanan dan IKM</t>
  </si>
  <si>
    <t>Program Pelayanan dan rehabilitasi Kesejahteraan Masyarakat Desa</t>
  </si>
  <si>
    <t>Jumlah organisasi yang terbina</t>
  </si>
  <si>
    <t>Jumlah organisasi sosial yang terbina</t>
  </si>
  <si>
    <t>Pembinaan Kesehatan Jasmani</t>
  </si>
  <si>
    <t>Terciptanya Kesehatan jasmani ASN</t>
  </si>
  <si>
    <t>Pembinaan UKS</t>
  </si>
  <si>
    <t>terbinanya UKS Kecamatan Krsambung</t>
  </si>
  <si>
    <t>Peningkatan kerjasama dengan aparat keamanan dalam teknik pencegahan kejahatan ( patroli ke desa/PAM)</t>
  </si>
  <si>
    <t>terkoordinasinya keamanan dan kenyamanan lingkungan</t>
  </si>
  <si>
    <t>Koordinasi penanganan Kebencanaan</t>
  </si>
  <si>
    <t>terkoordinasinya penanganan bencana di kec. Karangsambung</t>
  </si>
  <si>
    <t>Koordinasi penanganan Pamswakarsa</t>
  </si>
  <si>
    <t>terkoordinasinya penanganan Pamswakarsa</t>
  </si>
  <si>
    <t>Pembinaan organisasi LINMAS desa</t>
  </si>
  <si>
    <t>terbinanya organisasi LINMAS Desa</t>
  </si>
  <si>
    <t>terfasilitasinya pengurus dan anggota PKK Desa</t>
  </si>
  <si>
    <t>4. Kecamatan Prembun</t>
  </si>
  <si>
    <t>Penunjang Administrasi Prekantoran</t>
  </si>
  <si>
    <t>Pengadaan almari,feling kabinet dan kursi rapat</t>
  </si>
  <si>
    <t xml:space="preserve">Pengadaan komputer,laptop, printer </t>
  </si>
  <si>
    <t>Program Pengembangan Data/ Informasi/ Statistik</t>
  </si>
  <si>
    <t>Tersedianya Database kecamatan</t>
  </si>
  <si>
    <t>Terkirimnya delegasi kecamatan dalam rangka kegiatan hari jadi kebuman dan hari besar keagamaan</t>
  </si>
  <si>
    <t>Terlaksananya kegiatan dalam rangka peringatan HUT RI</t>
  </si>
  <si>
    <t>Program Peningkatan Keberdayaan Masyaraat perdesaan</t>
  </si>
  <si>
    <t>Prosentase masyarakat dlm politik</t>
  </si>
  <si>
    <t>Program Peningkatan Keamanan dan Kenyamanan Lingkungan</t>
  </si>
  <si>
    <t>Jumlah anggota linmas di tingkat desa</t>
  </si>
  <si>
    <t>Pelatihan pengendalian keamanan dan kenyamanan lingkungan</t>
  </si>
  <si>
    <t>5. Kecamatan Mirit</t>
  </si>
  <si>
    <t>Penyediaan jasa pemeliharaan  peralatan dan perlengkapan kantor</t>
  </si>
  <si>
    <t>tercukupinya jasa pemeliharaan peralatan dan perlengkapan kantor</t>
  </si>
  <si>
    <t>Terlaksanannya pengadaan perlengkapan kantor</t>
  </si>
  <si>
    <t>Pengadaan meja kursi ,filling kabinet</t>
  </si>
  <si>
    <t>Terususunnya Renstra ,Renja Kec dan LKJIP,LKPJ/LPPD Kec</t>
  </si>
  <si>
    <t>6. Kecamatan Kutowinangun</t>
  </si>
  <si>
    <t>Pengadaan komputer</t>
  </si>
  <si>
    <t>Rehabilitasi Gedung Kantor Pendopo,Rumah Dinas dan Gedung Pertemuan</t>
  </si>
  <si>
    <t>terpeliharanya gedung Pendopo,Rumah Dinas dan Gedung Pertemuan</t>
  </si>
  <si>
    <t>Pengadaan Sepeda Motor</t>
  </si>
  <si>
    <t>7. Kecamatan Ambal</t>
  </si>
  <si>
    <t>Pengadaan kursi dan almari</t>
  </si>
  <si>
    <t>Tersusunnya Renstra ,Renja Kec dan LKPJ/LPPD Kec</t>
  </si>
  <si>
    <t xml:space="preserve">Fasilitasi program- program Pembangunan </t>
  </si>
  <si>
    <t>Terfasilitasinya peran organisasi kepemudaan</t>
  </si>
  <si>
    <t>8. Kecamatan Buluspesantren</t>
  </si>
  <si>
    <t>9. Kecamatan Pejagoan</t>
  </si>
  <si>
    <t>terususunnya Renja Kec, LAKIP Kec dan Rentra Kec.</t>
  </si>
  <si>
    <t>Fasilitasi penggunaan Alokasi Dana Desa</t>
  </si>
  <si>
    <t>10. Kecamatan Klirong</t>
  </si>
  <si>
    <t>11. Kecamatan Petanahan</t>
  </si>
  <si>
    <t>Pengadaan meja kursi tunggu besi dan kayu, Kursi rapat</t>
  </si>
  <si>
    <t>Pengadaan Kendaraan Bermotor Roda 2</t>
  </si>
  <si>
    <t>Pengadaan Motor Dinas</t>
  </si>
  <si>
    <t>terususunnya,Renja,RKA,DPA,RENSTRA, dan Evaluasi Renja</t>
  </si>
  <si>
    <t>Fasilitasi APB Des</t>
  </si>
  <si>
    <t>pelatihan paskibra tingkat kecamatan ( 5 even)</t>
  </si>
  <si>
    <t>12. Kecamatan Sruweng</t>
  </si>
  <si>
    <t>terlaksanannya pengadaan peralatan gedung kantor</t>
  </si>
  <si>
    <t>PengTerlaksananya pengadaan Sarpras Kantor</t>
  </si>
  <si>
    <t>Pelatihan anggota Linmas</t>
  </si>
  <si>
    <t>Monitoring, evaluasi dan Pelaporan</t>
  </si>
  <si>
    <t>Terciptanya keamanan dan kenyamanan wilayah</t>
  </si>
  <si>
    <t>Sosialisasi perizinan</t>
  </si>
  <si>
    <t>Tersosialisasi peraturan perizinan</t>
  </si>
  <si>
    <t>Aparatur Pemerintahan desa yang berkualitas</t>
  </si>
  <si>
    <t>Pembinaan dan pelatihan Perangkat desa</t>
  </si>
  <si>
    <t>13. Kecamatan Karanganyar</t>
  </si>
  <si>
    <t>Pengadaan melelair</t>
  </si>
  <si>
    <t>Pengadaan Almari dan dipan</t>
  </si>
  <si>
    <t>Pengadaan AC</t>
  </si>
  <si>
    <t>KELURAHAN JATILUHUR</t>
  </si>
  <si>
    <t>Kelurahan Jatiluhur</t>
  </si>
  <si>
    <t>Terlaksananya Upaya kesehatan Masyarakat</t>
  </si>
  <si>
    <t>Terlaksananya Pemeliharaan dan Fasilitas Pelayanan Publik</t>
  </si>
  <si>
    <t>Terlaksananya Pemugaran Perumahan Masyarakat Kurang mampu</t>
  </si>
  <si>
    <t>Terlaksananya fasilitasi TKP2KDes/Kel</t>
  </si>
  <si>
    <t>KELURAHAN PLARANGAN</t>
  </si>
  <si>
    <t>Kelurahan Plarangan</t>
  </si>
  <si>
    <t>Terlaksananya Rehab Jalan Aspal glondongan  RW 03</t>
  </si>
  <si>
    <t>Meter</t>
  </si>
  <si>
    <t>Terlaksananya pendataan warga miskin di Kelurahan Plarangan</t>
  </si>
  <si>
    <t>RT</t>
  </si>
  <si>
    <t>Terselenggaranya pembinaan organisasi kepemudaan / karang taruna</t>
  </si>
  <si>
    <t>Terselenggaranya pembinaan pengendalian keamanan dan kenyamanan lingkungan</t>
  </si>
  <si>
    <t>Pembinaan PKK dan Kader Kesehatan</t>
  </si>
  <si>
    <t>KELURAHAN PANJATAN</t>
  </si>
  <si>
    <t>Kelurahan Panjatan</t>
  </si>
  <si>
    <t>Terselenggaranya Pemeliharaan prasarana dan Fasilitas umum Peleyanan Publik</t>
  </si>
  <si>
    <t>Terlaksananya Musrengbangkel dengan peserta 80 orang</t>
  </si>
  <si>
    <t>Tersedianya Fasilitasi TKP2Des</t>
  </si>
  <si>
    <t>KELURAHAN KARANGANYAR</t>
  </si>
  <si>
    <t>Kelurahan Karanganyar</t>
  </si>
  <si>
    <t>Terbangunnya ruang kelas PAUD</t>
  </si>
  <si>
    <t>Prasarana Umum di Kelurahan yang baik</t>
  </si>
  <si>
    <t>Terselenggaranya Pembinaan Organisasi Kepemudaan</t>
  </si>
  <si>
    <t>Tersedianya Data Profil Kelurahan</t>
  </si>
  <si>
    <t>14. Kecamatan Karanggayam</t>
  </si>
  <si>
    <t>Pengadaan komputer,lap top,printer</t>
  </si>
  <si>
    <t>15. Kecamatan Adimulyo</t>
  </si>
  <si>
    <t>Pengadaan AC, Laptop</t>
  </si>
  <si>
    <t>terususunnya Renja Kec, Simdalev, Simpel , LKPJ, RKA dan LAKIP Kec</t>
  </si>
  <si>
    <t>Terfasilitasinya program pembangunan masuk desa</t>
  </si>
  <si>
    <t>Terfasilitasinya  TKP2Kdes</t>
  </si>
  <si>
    <t>Terselenggaranya Pembinaan Sosial Masyarakat dalam rangka Hari Besar Keagamaan dan HUT Kebumen</t>
  </si>
  <si>
    <t>Terlatihnya Personil Linmas Desa</t>
  </si>
  <si>
    <t>Terlaksanannya peningkatan kesadaran masyarakat akan nilai - nilai luhur budaya bangsa dlm rangka HUT RI</t>
  </si>
  <si>
    <t>pelatihan paskibra, rakor dan malam tasyakuran tingkat kecamatan</t>
  </si>
  <si>
    <t>Program  Peningkatan Kapasitas Aparatur Pemerintah Desa</t>
  </si>
  <si>
    <t>Meningkatnya SDM Aparatur Pemerintahan Desa</t>
  </si>
  <si>
    <t>Pembinaan Administrasi  Desa</t>
  </si>
  <si>
    <t>16. Kecamatan Kuwarasan</t>
  </si>
  <si>
    <t xml:space="preserve">Pengadaan kursi rapat, kursi pejabat, meja </t>
  </si>
  <si>
    <t>Pengadaan lap top,LCD,AC,Printer,rak,  sound sytem, Almari, Kursi Pejabat</t>
  </si>
  <si>
    <t>terpeliharanya gedung kantor, pasang kanopi,pagar</t>
  </si>
  <si>
    <t>terususunnya Renja,lap.keu,LKJiP, LPPD ,DPA</t>
  </si>
  <si>
    <t>Fasilitasi ADD</t>
  </si>
  <si>
    <t>Fasilitasi Kegiatan ADD</t>
  </si>
  <si>
    <t>17. Kecamatan Puring</t>
  </si>
  <si>
    <t xml:space="preserve">Tersedianya jaringan telepon </t>
  </si>
  <si>
    <t>Pengadaan meja kursi kerja, meja kursi tamu, meja rapat, bangku tunggu</t>
  </si>
  <si>
    <t>Pengadaan LCD, AC, komputer, Printer, sound system</t>
  </si>
  <si>
    <t>Terbangunnya garasi sepeda motor</t>
  </si>
  <si>
    <t>Yerpeliharanya meubelair</t>
  </si>
  <si>
    <t>Terususunnya RKA, DPA, Renja, RKO dan LAKIP Kec</t>
  </si>
  <si>
    <t>Tersusunnya database desa dan kecamatan</t>
  </si>
  <si>
    <t>Tersusunnya RKP Kecamatan</t>
  </si>
  <si>
    <t>Meningkatnya mutu pelayanan kepada masyarakat</t>
  </si>
  <si>
    <t>Meningkatnya SDM aparatur pemerintah desa</t>
  </si>
  <si>
    <t>Bintek aparatur pemerintah desa dalam bidang manajemen pemerintah desa</t>
  </si>
  <si>
    <t>Terlatihnya perangkat desa di bidang administrasi desa</t>
  </si>
  <si>
    <t>Meningkatnya mutu SDM aparatur desa dan peran serta masyarakat dalam membangun desa</t>
  </si>
  <si>
    <t>Terfasilitasinya penyusunan APBDes dan sosialisasi ADD</t>
  </si>
  <si>
    <t xml:space="preserve">Fasilitasi program Pembangunan </t>
  </si>
  <si>
    <t>Terfasilitasinya program program pembangunan di perdesaan</t>
  </si>
  <si>
    <t>Fasilitasi dan monitoring pelaksanaan kegiatan TKP2Kdes</t>
  </si>
  <si>
    <t>Meningkatnya peran organisasi pemuda dalam pembangunan</t>
  </si>
  <si>
    <t>Jumlah pemuda/ pemudi yang terbina/terlatih</t>
  </si>
  <si>
    <t>Meningkatnya keamanan dan kenyamanan lingkungan</t>
  </si>
  <si>
    <t>Jumlah Petugas keamanan ( Linmas Desa ) yang terlatih</t>
  </si>
  <si>
    <t>Jumlah kontingen yang ikut lomba-lomba di tingkat Kabupaten</t>
  </si>
  <si>
    <t>Partisipasi/pengiriman lomba-lomba di Tingkaat Kabupaten</t>
  </si>
  <si>
    <t>Jumlah desa yang melaksanakan Pilkades/Pengisian perangkat desa</t>
  </si>
  <si>
    <t>Fasilitasi Pemilihan Kepala Desa/ Perangkat Desa</t>
  </si>
  <si>
    <t>Monitoring dan fasilitasi Pengisian Perangkat Desa dan Pilkades</t>
  </si>
  <si>
    <t>Meningkatnya ketrampilan anggota PKK Desa</t>
  </si>
  <si>
    <t>Jumlah anggoya PKK Desa yang terlatih/terbintek</t>
  </si>
  <si>
    <t>18. Kecamatan Gombong</t>
  </si>
  <si>
    <t>Pengadaan kursi kerja, meja</t>
  </si>
  <si>
    <t>Pengadaan Almari arsip dan gerobag angkutan</t>
  </si>
  <si>
    <t>Pengadaan Sound system lengkap, kamera</t>
  </si>
  <si>
    <t>Rehabilitasi sedang/ berat gedung kantor</t>
  </si>
  <si>
    <t>terehabilitasinya gedung kantor</t>
  </si>
  <si>
    <t>Program Penataan Administrasi</t>
  </si>
  <si>
    <t>Terfasilitasinya kegiatan penataan arsip</t>
  </si>
  <si>
    <t>KELURAHAN GOMBONG</t>
  </si>
  <si>
    <t>Kelurahan Gombong</t>
  </si>
  <si>
    <t>Tersedianya alat praktek dan peraga siswa</t>
  </si>
  <si>
    <t>Terselenggaranya pelayanan Posyandu</t>
  </si>
  <si>
    <t>Tersedianya kebutuhan untuk survellance /pemantauan jentik secara rutin</t>
  </si>
  <si>
    <t>Terpeliharanya prasarana dan fasilitas umum pelayanan publik</t>
  </si>
  <si>
    <t>Kelurahan</t>
  </si>
  <si>
    <t>Tersedianya kebutuhan untuk perbaikan rumah masyarakat tidak mampu</t>
  </si>
  <si>
    <t>Tersusunya RPTK dan skala prioritas</t>
  </si>
  <si>
    <t>Tersedianya kebutuhan untuk pemberdayaan masyarakat tidak mampu</t>
  </si>
  <si>
    <t>Terselenggaranya penyuluhan generasi muda</t>
  </si>
  <si>
    <t>Terselenggaranya kegiatan pembinaan Linmas</t>
  </si>
  <si>
    <t>Tersedianya kebutuhan untuk koordinasi anggota Linmas</t>
  </si>
  <si>
    <t>Terselenggaranya pembinaan lembaga RT/RW dan LKMK</t>
  </si>
  <si>
    <t>Program pengembangan lembaga ekonomi pedesaan</t>
  </si>
  <si>
    <t>Tersedianya fasilitasi permodalan bagi usaha mikro kecil</t>
  </si>
  <si>
    <t>Terselenggaranya pembinaan PKK</t>
  </si>
  <si>
    <t>KELURAHAN WONOKRIYO</t>
  </si>
  <si>
    <t>Kelurahan Wonokriyo</t>
  </si>
  <si>
    <t>Tersedianya sarana sanitasi (toilet dan pembuangan air limbah) POS PAUD</t>
  </si>
  <si>
    <t>Tersedianya sarana prasarana / meja kursi belajar mengajar yang memadai demi terselenggaranya proses kegiatan PAUD Wonokriyo</t>
  </si>
  <si>
    <t>Tersedianya sarana gedung / ruang guru yang tertib, bersih, aman dan nyaman dalam penyelenggaraan kegiatan belajar mengajar POS PAUD</t>
  </si>
  <si>
    <t>Terbangunnya rumah hunian yang layak bagi keluarga miskin / tidak mampu</t>
  </si>
  <si>
    <t>Terselenggaranya Musyawarah Perencanaan Pembangunan Desa/Kelurahan dan tersusunnya dokumen perencanaan pembangunan yang baik, tepat mutu, tepat sasaran .</t>
  </si>
  <si>
    <t>Terselenggaranya kegiatan pendataan, ferifikasi dan validasi data kemiskinan kelurahan guna menyiapkan data ter-update tentang kemiskinan</t>
  </si>
  <si>
    <t>Program Peningkatan Sarana dan Prasarana Olah Raga</t>
  </si>
  <si>
    <t>Tersedianya sarana prasarana olah raga berupa lapangan tenis meja guna meningkatkan prestasi dan kesehatan masyarakat khususnya pemuda</t>
  </si>
  <si>
    <t>Terselenggaranya pelatihan dan  pengadaan sarana kelengkapan LINMAS</t>
  </si>
  <si>
    <t>Terselenggaranya pelatihan, bimbingan/pembinaan lembaga RT dan RW guna peningkatan peran serta, keberdayaan dan kapasitas sebagai mitra pemerintah dalam pelaksanaan pembangunan dan pelayanan masyarakat</t>
  </si>
  <si>
    <t>Terselenggaranya kegiatan pembinaan lembaga PKK guna peningkatan kapasitas dan kualitas sumber daya manusia</t>
  </si>
  <si>
    <t>Program peningkatan upaya penumbuhan kewirausahaan dan kecakapan hidup pemuda</t>
  </si>
  <si>
    <t>Terselenggaranya pelatihan kewirausahaan bagi pemuda</t>
  </si>
  <si>
    <t>19. Kecamatan Sempor</t>
  </si>
  <si>
    <t>Pengadaan Almari dan meja kursi</t>
  </si>
  <si>
    <t>Pengadaan AC, TV, layar LCD dan dispenser</t>
  </si>
  <si>
    <t>20. Kecamatan Buayan</t>
  </si>
  <si>
    <t>Pengadaan kursi,meja</t>
  </si>
  <si>
    <t>Pengadaan lap top,LCD,AC,Printer,rak,  sound sytem,telpun</t>
  </si>
  <si>
    <t>Program Peningkatan Kualitas pelayanan Informasi</t>
  </si>
  <si>
    <t xml:space="preserve">Tertatanya arsip di desa dengan baik </t>
  </si>
  <si>
    <t>Fasilitasi pembinaan kearsipan desa</t>
  </si>
  <si>
    <t>Terbinanya aparatur desa tentang arsip</t>
  </si>
  <si>
    <t>Program Peningkatan Kapasitas Aparatur pemerintah Desa</t>
  </si>
  <si>
    <t>Jumlah aparatur desa yang meningkat kapasitasnya</t>
  </si>
  <si>
    <t xml:space="preserve">Terinventarisasinya aset desa dengan baik dan benar </t>
  </si>
  <si>
    <t>Terfasilitasinya upaya kesehatan ibu dan anak</t>
  </si>
  <si>
    <t>Peningkatan kesehatan masyarakat</t>
  </si>
  <si>
    <t>Terlaksananya penyuluhan kesehatan ibu dan balita</t>
  </si>
  <si>
    <t>21. Kecamatan Rowokele</t>
  </si>
  <si>
    <t>Peningkatan partisipasi masyarakat dalam membangun  desa</t>
  </si>
  <si>
    <t>Peningkatan upaya pertumbuhan kewirausahaan dan kecakapan hidup pemuda</t>
  </si>
  <si>
    <t>Pelatihan perempuan di pedesaan dalam bidang usaha ekonomi produktif</t>
  </si>
  <si>
    <t>terlatihnya kaum perempuan untuk lebih mampu dan punya daya saing dalam pengembangan usaha dan lebih produktif sehingga ekonominya semakin meningkat</t>
  </si>
  <si>
    <t>22. Kecamatan Ayah</t>
  </si>
  <si>
    <t>Pengadaan  kursi</t>
  </si>
  <si>
    <t>23. Kecamatan Sadang</t>
  </si>
  <si>
    <t>Terbayar Gaji Pegawai Non PNS</t>
  </si>
  <si>
    <t>Jumlah Perangkat Desa yang meningkat kapasitasnya</t>
  </si>
  <si>
    <t>Pembinaan Administrasi Desa</t>
  </si>
  <si>
    <t>Terlaksananya pembinaan perangkat desa ttg administrasi desa</t>
  </si>
  <si>
    <t>Penyusunan kebijakan pelayanan dan rehabilitasi sosial bagi penyandang masalah kesejahteraan sosial</t>
  </si>
  <si>
    <t>Tersedinya dokumen PMKS</t>
  </si>
  <si>
    <t>Peningkatan kesadaran pengusaha akanPengendalian kebisingan dan gangguan dari kegiatan masyarakat</t>
  </si>
  <si>
    <t xml:space="preserve">Sosialisasi bagi pengusaha </t>
  </si>
  <si>
    <t xml:space="preserve">Peningkatan kesadaran pemuda akan peredaran/penggunaan minuman keras dan narkoba </t>
  </si>
  <si>
    <t>24. Kecamatan Poncowarno</t>
  </si>
  <si>
    <t>Pengadaan Kendaraan Dinas/ Opersional</t>
  </si>
  <si>
    <t>Pengadaan meja kursi/ almari</t>
  </si>
  <si>
    <t>Pengadaan Laptop/ komputer/ printer</t>
  </si>
  <si>
    <t>Pengadaan LCD, Screen gantung, Mesin ketik, stand mix</t>
  </si>
  <si>
    <t>Sound System</t>
  </si>
  <si>
    <t>Pompa air</t>
  </si>
  <si>
    <t>25. Kecamatan Padureso</t>
  </si>
  <si>
    <t>Terlaksananya pengadaan sarpras kantor</t>
  </si>
  <si>
    <t>Terlaksananya rehab sedang/berat gedung kantor</t>
  </si>
  <si>
    <t>26. Kecamatan Bonorowo</t>
  </si>
  <si>
    <t xml:space="preserve">Tersedianya jasa peralatan kerja </t>
  </si>
  <si>
    <t xml:space="preserve">bulan </t>
  </si>
  <si>
    <t>2.5</t>
  </si>
  <si>
    <t>3.5</t>
  </si>
  <si>
    <t>6.7</t>
  </si>
  <si>
    <t xml:space="preserve">Terususunnya Renstra ,Renja ,LAKIP,LKPJ dan Evaluasi Renja </t>
  </si>
  <si>
    <t xml:space="preserve">Program peningkatan   dan kenyamanan lingkungan </t>
  </si>
  <si>
    <t>Pembinaan anggota Hansip/Linmas</t>
  </si>
  <si>
    <t>Rapat Koordinasi TKP2Kdesdan pendataan PMKS</t>
  </si>
  <si>
    <t>Penyelenggaraan pendidikan anak usia dini</t>
  </si>
  <si>
    <t>Peningkatan kualitas dan kesejahteraan pendidik PAUD</t>
  </si>
  <si>
    <t>APK SMP/MTs</t>
  </si>
  <si>
    <t>Pembinaaan minat, bakat, dan kreativitas siswa (UPTD)</t>
  </si>
  <si>
    <t>Pembinaaan minat, bakat, dan kreativitas siswa (SMP se-Kab. Kebumen)</t>
  </si>
  <si>
    <t>SMP Negeri se-Kab.Kebumen</t>
  </si>
  <si>
    <t>Pembelajaran Wisata Edukasi (Banprov)</t>
  </si>
  <si>
    <t>Terselenggaranya winsata edukasi bagi siswa SD dan SMP yang berprestasi di tingkat kabupaten</t>
  </si>
  <si>
    <t>Fasilitasi pendidikan berbasis keunggulan lokal</t>
  </si>
  <si>
    <t xml:space="preserve">Peningkatan mutu dan kualitas ketrampilan peserta didik </t>
  </si>
  <si>
    <t>SMK</t>
  </si>
  <si>
    <t>Peningkatan sistem penghargaan dan perlindungan terhadap profesi pendidik (UPTD Dikpora)</t>
  </si>
  <si>
    <t>Peningkatan sistem penghargaan dan perlindungan terhadap profesi pendidik  (SMP Negeri se-Kab.Kebumen)</t>
  </si>
  <si>
    <t>Pelaksanaan Evaluasi Kinerja bidang pendidikan</t>
  </si>
  <si>
    <t xml:space="preserve">Meningkatnya kualifikasi kinerja kepala TK/SD/SMP/SMA/SMK </t>
  </si>
  <si>
    <t>Peningkatan Sarpras Sanitasi SD/SLB dan SMP/SMPLB</t>
  </si>
  <si>
    <t>Terehabilitasinya sarpras sanitasi untuk SD dan SMP</t>
  </si>
  <si>
    <t xml:space="preserve"> (UPTD Dikpora Unit Kecamatan)</t>
  </si>
  <si>
    <t>UPTD Dikpora Unit Kecamatan</t>
  </si>
  <si>
    <t xml:space="preserve"> (SMPN se-kabupaten Kebumen)</t>
  </si>
  <si>
    <t>(UPTD Dikpora Unit Kecamatan)</t>
  </si>
  <si>
    <t>SMP Negeri se-Kab.Kebumen)</t>
  </si>
  <si>
    <t>(SMP Negeri se-Kab.Kebumen)</t>
  </si>
  <si>
    <t xml:space="preserve">Tersusunnya revisi Perda RT/RW Kabupaten Kebumen </t>
  </si>
  <si>
    <t xml:space="preserve">Program Peningkatan Ketahanan Pangan (pertanian/perkebunan) </t>
  </si>
  <si>
    <t>1. Nilai Produksi Perkebunan (juta rupiah)</t>
  </si>
  <si>
    <t>2. Produksi Industri Pengolahan Perkebunan</t>
  </si>
  <si>
    <t>Rupiah (000)</t>
  </si>
  <si>
    <t>Penambahan luas tanaman perkebunan</t>
  </si>
  <si>
    <t>Kelapa</t>
  </si>
  <si>
    <t>Pala</t>
  </si>
  <si>
    <t>Lada</t>
  </si>
  <si>
    <t>Kopi</t>
  </si>
  <si>
    <t>Pandan</t>
  </si>
  <si>
    <t>Penanaman</t>
  </si>
  <si>
    <t>Kakao</t>
  </si>
  <si>
    <t>Penelitian sumber sebar benih kelapa</t>
  </si>
  <si>
    <t>Penelitian sumber sebar benih cengkeh</t>
  </si>
  <si>
    <t>Sertifikasi blok penghasil pohon induk kelapa</t>
  </si>
  <si>
    <t>Sertifikasi blok penghasil pohon induk cengkeh</t>
  </si>
  <si>
    <t>evaluasi pohon induk kelapa</t>
  </si>
  <si>
    <t>evaluasi pohon induk cengkeh</t>
  </si>
  <si>
    <t>Dapur bersih</t>
  </si>
  <si>
    <t>Alat pengemasan (packing)</t>
  </si>
  <si>
    <t>Peralatan pasca panen (karet) UPH Bokar</t>
  </si>
  <si>
    <t>Tungku hemat energi</t>
  </si>
  <si>
    <t xml:space="preserve">Program Peningkatan Produksi Pertanian/Perkebunan  </t>
  </si>
  <si>
    <t>Jalan produksi</t>
  </si>
  <si>
    <t>Bak penampung air irigasi</t>
  </si>
  <si>
    <t>kg</t>
  </si>
  <si>
    <t>Program Peningkatan Penerapan Teknologi Pertanian/perkebunan</t>
  </si>
  <si>
    <t>Produksi Industri Pengolahan Perkebunan</t>
  </si>
  <si>
    <t>Keg Pemelihraan rutin/berkala sarana dan prasarana teknologi pertanian/perkebunan tepat guna</t>
  </si>
  <si>
    <t>Pembinaan kelompok perkebunan di kebun dinas</t>
  </si>
  <si>
    <t>Cakupan rehabilitasi/konservasi lahan/hutan</t>
  </si>
  <si>
    <t>Peningkatan keberadaan kelompok tani</t>
  </si>
  <si>
    <t>Koordinasi RHL dengan Dishut Prop dan BPDAS SOP Yogyakarta</t>
  </si>
  <si>
    <t>Rapat Kelompok Kerja mangrove</t>
  </si>
  <si>
    <t>Data Sumber Mata Air</t>
  </si>
  <si>
    <t>DPn</t>
  </si>
  <si>
    <t>GP</t>
  </si>
  <si>
    <t>Dpi</t>
  </si>
  <si>
    <t>Embung</t>
  </si>
  <si>
    <t>Alat pengolahan hasil hutan kayu</t>
  </si>
  <si>
    <t>Alat pengolahan hasil hutan non kayu</t>
  </si>
  <si>
    <t>Pos Penyuluhan</t>
  </si>
  <si>
    <t>kelompok peduli konservasi Sumber Daya Alam dan Lingkungan Hidup</t>
  </si>
  <si>
    <t>Penyuluhan kepada KTH</t>
  </si>
  <si>
    <t>Program Pemanfaatan Potensi Sumber Daya Hutan</t>
  </si>
  <si>
    <t>1. Produksi Kayu Bulat (m3)</t>
  </si>
  <si>
    <t>2. Produksi Hasil Hutan Bukan Kayu</t>
  </si>
  <si>
    <t>Jumlah Produksi Hasil Hutan Bukan Kayu</t>
  </si>
  <si>
    <t>Rekonsiliasi</t>
  </si>
  <si>
    <t>Jumlah IPHHK</t>
  </si>
  <si>
    <t>Tersedianya data/dokumen pendukung penanggulangan kemiskinan</t>
  </si>
  <si>
    <t>Terpeliharanya sarana prasarana umum berupa : talud, jalan, saluran drainase dsb</t>
  </si>
  <si>
    <t>Program BLUD</t>
  </si>
  <si>
    <t>Terlayaninya kesehatan masyarakat desa melalui BLUD puskesmas</t>
  </si>
  <si>
    <t>DINKES (Puskesmas)</t>
  </si>
  <si>
    <t>Capaian realisasi pendapatan dari target</t>
  </si>
  <si>
    <t>Tersedianya dokumen perencaan RENSTRA, RENJA, LKPJ dan LPPD, LAKIP</t>
  </si>
  <si>
    <t>Jumlah Ormas, LSM dan OKP yang telah mendapat pembinaan/Jumlah Ormas, LSM dan OKPx 100%</t>
  </si>
  <si>
    <t>Terwujudnya masyarakat yang agamis dan berahlak mulia</t>
  </si>
  <si>
    <t>Meningkatnya kualitas sarana dan prasarana pendidikan</t>
  </si>
  <si>
    <t>Terwujudnya Kampung UMKM</t>
  </si>
  <si>
    <t>Pelatihan Kewirausahaan Kampung UMKM</t>
  </si>
  <si>
    <t>Penyelenggaraan pembinaan industri rumah tangga, industri kecil dan industri menengah</t>
  </si>
  <si>
    <t>Terlaksananya pembinaan IRT</t>
  </si>
  <si>
    <t>Terlaksananya Sertifikasi HAT untuk seluruh UMKM</t>
  </si>
  <si>
    <t>Pembangunan Gedung di Kampung UMKM</t>
  </si>
  <si>
    <t>Desa Lemahduwur Kecamatan Kuwarasan</t>
  </si>
  <si>
    <t xml:space="preserve">Terlaksananya Pelatihan manajemen koperasi untuk  Anggota Koperasi                                               </t>
  </si>
  <si>
    <t>Pelaporan KoperasiSistem Online</t>
  </si>
  <si>
    <t>komputerisasi akuntansi</t>
  </si>
  <si>
    <t>Terlaksananya pelatihan manajemen pemasaran  atau resiko</t>
  </si>
  <si>
    <t>uji kompetesi manajer dan pengawas sariah</t>
  </si>
  <si>
    <t>Sosialisasi Permenkop Tahun 2015</t>
  </si>
  <si>
    <t>Terlaksananya pasar rakyat dalam rangka HUT Koperasi</t>
  </si>
  <si>
    <t xml:space="preserve">Bimtek penilaian kesehatan dan pengawasan koperasi </t>
  </si>
  <si>
    <t>Pengurugan tanah di lokassi PLUT dan Dinas</t>
  </si>
  <si>
    <t>Tingkat Maturitas SPIP pada level 3</t>
  </si>
  <si>
    <t>Nilai Leveling APIP Kabupaten pada level 3</t>
  </si>
  <si>
    <t>ANGGARAN PUSKESMAS</t>
  </si>
  <si>
    <t>NO</t>
  </si>
  <si>
    <t>PUSKESMAS</t>
  </si>
  <si>
    <t>Adimulyo</t>
  </si>
  <si>
    <t xml:space="preserve">Alian </t>
  </si>
  <si>
    <t>Ambal I</t>
  </si>
  <si>
    <t>Ambal II</t>
  </si>
  <si>
    <t>Ayah I</t>
  </si>
  <si>
    <t>Ayah II</t>
  </si>
  <si>
    <t>Bonorowo</t>
  </si>
  <si>
    <t>Buayan</t>
  </si>
  <si>
    <t>Buluspesantren I</t>
  </si>
  <si>
    <t>Buluspesantren II</t>
  </si>
  <si>
    <t>Gombong I</t>
  </si>
  <si>
    <t>Gombong II</t>
  </si>
  <si>
    <t>Karanganyar</t>
  </si>
  <si>
    <t>Karanggayam I</t>
  </si>
  <si>
    <t>Karanggayam II</t>
  </si>
  <si>
    <t>Karangsambung</t>
  </si>
  <si>
    <t>Kebumen I</t>
  </si>
  <si>
    <t>Kebumen II</t>
  </si>
  <si>
    <t>Kebumen III</t>
  </si>
  <si>
    <t>Klirong I</t>
  </si>
  <si>
    <t>Klirong II</t>
  </si>
  <si>
    <t>Kutowinangun</t>
  </si>
  <si>
    <t>Kuwarasan</t>
  </si>
  <si>
    <t>Mirit</t>
  </si>
  <si>
    <t>Padureso</t>
  </si>
  <si>
    <t>Pejagoan</t>
  </si>
  <si>
    <t>Petanahan</t>
  </si>
  <si>
    <t>Poncowarno</t>
  </si>
  <si>
    <t>Prembun</t>
  </si>
  <si>
    <t>Puring</t>
  </si>
  <si>
    <t>Rowokele</t>
  </si>
  <si>
    <t>Sadang</t>
  </si>
  <si>
    <t>Sempor I</t>
  </si>
  <si>
    <t>Sempor II</t>
  </si>
  <si>
    <t>Sruweng</t>
  </si>
  <si>
    <t>UP3</t>
  </si>
  <si>
    <t>Capaian Angka Harapan Lama Sekolah sebesar 13,20</t>
  </si>
  <si>
    <t>Meningkatnya Angka harapan lama sekolah</t>
  </si>
  <si>
    <t xml:space="preserve">Rata-rata lama sekolah </t>
  </si>
  <si>
    <t>Bertambahnya rata-rata lama sekolah</t>
  </si>
  <si>
    <t>Meningkatnya mutu dan manajemen pelayanan pendidikan</t>
  </si>
  <si>
    <t>Angka Kelulusan</t>
  </si>
  <si>
    <t>Persentase
penduduk yang
berpendidikan tinggi
(S1 ke atas)</t>
  </si>
  <si>
    <t>Indek Survey
Kepuasan Masyarakat
terhadap layanan
pendidikan</t>
  </si>
  <si>
    <t>Capaian prestasi cabang olahraga sebesar 43,5%</t>
  </si>
  <si>
    <t>Meningkatnya
prestasi Olah raga</t>
  </si>
  <si>
    <t>Meningkatnya pembinaan pemuda dan pemasyarakatan olahraga</t>
  </si>
  <si>
    <t>Capaian keikutsertaan pemuda skala regional dan nasional sebesar 58,33%</t>
  </si>
  <si>
    <t>Meningkatnya partisipasi pemuda dalam pembangunan</t>
  </si>
  <si>
    <t>Meningkatnya angka kelulusan</t>
  </si>
  <si>
    <t>Capaian indek kepuasan masyarakat terhadap layanan pendidikan sebesar 68,37</t>
  </si>
  <si>
    <t>Meningkatnya layanan pendidikan bagi masyarakat</t>
  </si>
  <si>
    <t>Capaian kinerja pelayanan SKPD sebesar 96%</t>
  </si>
  <si>
    <t>Capaian angka harapan hidup sebesar 73,01</t>
  </si>
  <si>
    <t>Persentase
penduduk yang
menjadi peserta
jaminan kesehatan</t>
  </si>
  <si>
    <t>Meningkatnya upaya pemerintah dan partisipasi penduduk dalam layanan kesehatan</t>
  </si>
  <si>
    <t>Capaian prosentase kinerja sebesar 96%</t>
  </si>
  <si>
    <t>Meningkatnya pelayanan kinerja perangkat daerah</t>
  </si>
  <si>
    <t xml:space="preserve">- Cakupan penerbitan kutipan akte kelahiran </t>
  </si>
  <si>
    <t xml:space="preserve">Cakupan penerbitan kutipan akte kematian </t>
  </si>
  <si>
    <t>Capaian kunjungan perpustakaan sebesar 16,63%</t>
  </si>
  <si>
    <t>Capaian kinerja pelayanan perangkat daerah sebesar 96%</t>
  </si>
  <si>
    <t>Meningkatnya kinerja layanan perangkat daerah</t>
  </si>
  <si>
    <t>Cakupan
Pembinaan Keluarga
Sejahtera</t>
  </si>
  <si>
    <t>Cakupan Peserta
KB Aktif</t>
  </si>
  <si>
    <t>Capaian
peningkatan
pengelolaan keuangan
dan aset</t>
  </si>
  <si>
    <t>Meningkatnya layanan kinerja perangkat daerah</t>
  </si>
  <si>
    <t>disi</t>
  </si>
  <si>
    <t>(RATA-RATA JUMLAH TAHUN BERSEKOLAH PENDUDUK BERUSIA 15 TAHUN KE ATAS)</t>
  </si>
  <si>
    <t>Jumlah siswa lulus/Jumlah siswa mengikuti UAN x 100%</t>
  </si>
  <si>
    <t>(JUMLAH PENDUDUK MENAMATKAN PENDIDIKAN TINGGI / JUMLAH TOTAL PENDUDUK) x 100%</t>
  </si>
  <si>
    <r>
      <rPr>
        <i/>
        <u/>
        <sz val="9"/>
        <rFont val="Bookman Old Style"/>
        <family val="1"/>
      </rPr>
      <t xml:space="preserve">Misi 1 : </t>
    </r>
    <r>
      <rPr>
        <sz val="9"/>
        <rFont val="Bookman Old Style"/>
        <family val="1"/>
      </rPr>
      <t>Membangun sumber daya manusia yang memiliki wawasan luas, tangguh serta berkemajuan melalui pendidikan dan kesehatan yang berkualitas</t>
    </r>
  </si>
  <si>
    <r>
      <rPr>
        <i/>
        <u/>
        <sz val="9"/>
        <rFont val="Bookman Old Style"/>
        <family val="1"/>
      </rPr>
      <t>Misi 5:</t>
    </r>
    <r>
      <rPr>
        <u/>
        <sz val="9"/>
        <rFont val="Bookman Old Style"/>
        <family val="1"/>
      </rPr>
      <t xml:space="preserve"> </t>
    </r>
    <r>
      <rPr>
        <sz val="9"/>
        <rFont val="Bookman Old Style"/>
        <family val="1"/>
      </rPr>
      <t>Menyediakan sarana dan prasarana pendidikan yang baik, meningkatkan nilai kualitas pendidikan serta membuka akses kesehatan yang maksimal dan terjangkau bagi seluruh lapisan masyarakat</t>
    </r>
  </si>
  <si>
    <t>Tersalurkannya Bantuan Beasiswa bagi siswa kurang mampu S1 ke masyarakat</t>
  </si>
  <si>
    <t>Capaian penduduk berpendidikan S1 ke atas sebesar 2,20%</t>
  </si>
  <si>
    <t>Meningkatnya prosentase penduduk berpendidikan tinggi</t>
  </si>
  <si>
    <t>URUSAN PEMERINTAHAN DAN PROGRAM PRIORITAS/ RUMUS PERHITUNGAN IKU PERANGKAT DAERAH</t>
  </si>
  <si>
    <t>Capaian rata-rata lama sekolah sebesar 7,20</t>
  </si>
  <si>
    <t>Capaian angka kelulusan sebesar 99,92</t>
  </si>
  <si>
    <t>Nilai Survey Kepuasan Masyarakat terhadap Pelayanan Pendidikan</t>
  </si>
  <si>
    <t>LEVEL</t>
  </si>
  <si>
    <t xml:space="preserve">Indeks Standar Sarana Prasarana Pendidikan </t>
  </si>
  <si>
    <t>Mewujudkan sarana dan prasarana pendidikan yang berkualitas dan terjangkau</t>
  </si>
  <si>
    <t>(Jumlah gedung PAUD/sederajat kondisi baik / jumlah total gedung PAUD/sederajat) x 100%</t>
  </si>
  <si>
    <t>DIISI ANGGARAN BTL SESUAI RPJMD</t>
  </si>
  <si>
    <t>DIKPORA/PPKD</t>
  </si>
  <si>
    <t>6. Angka Partisipasi Sekolah</t>
  </si>
  <si>
    <t>7. Persentase Sekolah Terakreditasi A</t>
  </si>
  <si>
    <t>Capaian sekolah terakreditasi sebesar 33,42%</t>
  </si>
  <si>
    <t>Capaian angka partisipasi sekolah sebesar 93,36 %</t>
  </si>
  <si>
    <t>Meningkatnya angka partisipasi sekolah</t>
  </si>
  <si>
    <t>Meningkatnya Sekolah berkualitas</t>
  </si>
  <si>
    <t>(Jumlah siswa pendidikan dasar SD/MI usia 7-12 tahun/Jumlah penduduk usia 7-12 tahun)x100%)+ (Jumlah siswa usia pendidikan dasar SMP/MTs usia 13-15 tahun/Jumlah penduduk usia 13-15 tahun x 100%) + (Jumlah siswa pendidikan menengah (SMA+MA+SMK) usia 16-18 tahun/Jumlah penduduk usia 16-18 tahun x 100%)/3</t>
  </si>
  <si>
    <t>(Jumlah sekolah terakreditasi A / Jumlah seluruh sekolah)x 100%)</t>
  </si>
  <si>
    <t>(Jumlah gedung SD/SMP atau sederajat dalam kondisi baik / jumlah total gedung SD/SMP sederajat) x 100%</t>
  </si>
  <si>
    <t>(Jumlah gedung SMA/sederajat kondisi baik / jumlah total gedung SMA/sederajat) x 100%</t>
  </si>
  <si>
    <t>Prosentase capaian kinerja pelayanan Perangkat Daerah</t>
  </si>
  <si>
    <t>Meningkatnya kinerja pelayanan perangkat daerah</t>
  </si>
  <si>
    <t>diisi jumlah orang</t>
  </si>
  <si>
    <t>14. Cakupan penanganan ibu hamil resiko tinggi</t>
  </si>
  <si>
    <t>Jumlah ibu hamil resiko tinggi yang ditangani/Jumlah ibu hamil resiko tinggi x 100%</t>
  </si>
  <si>
    <t>15. Persentase Kasus Gizi Buruk</t>
  </si>
  <si>
    <t>Kasus Gizi Buruk yang terjadi pada Anak Balita ((Jumlah balita gizi buruk /jumlah semua balita)x100%)</t>
  </si>
  <si>
    <t>Capaian Indek Kepuasan Masyarakat terhadap layanan kesehatan sebesar  84%</t>
  </si>
  <si>
    <t>Meningkatkan layanan kesehatan masyarakat</t>
  </si>
  <si>
    <t>Nilai kinerja kesehatan BLUD Puskesmas (AAA=9, AA=8, A=7, BBB=6, BB=5, B=4, CCC=3, CC=2, C=1)</t>
  </si>
  <si>
    <t>Capaian Penanganan Ibu Hamil resiko tinggi sebesar 100%</t>
  </si>
  <si>
    <t>Tertanganinya ibu hamil beresiko tinggi</t>
  </si>
  <si>
    <t>Tidak adanya kasus gizi buruk pada balita</t>
  </si>
  <si>
    <t>Meningkatnya kesehatan anak balita</t>
  </si>
  <si>
    <t>Indeks Standar Sarana Prasarana Kesehatan</t>
  </si>
  <si>
    <t>Tingkat pelayanan kegawat-daruratan</t>
  </si>
  <si>
    <t>Persentase Akses Sanitasi</t>
  </si>
  <si>
    <t>(Jumlah Puskesmas dapat melaksanakan pelayanan kegawatdaruratan (UGD)/Jumlah Puskesmas) x 100%</t>
  </si>
  <si>
    <t>(Jumlah sarana kesehatan yang sudah menerapkan sistem manajemen kesehatan) x 100%</t>
  </si>
  <si>
    <t>Persentase Akses Air Limbah Domestik</t>
  </si>
  <si>
    <t>Jumlah penduduk menjadi peserta BPJS Kesehatan / Jumlah penduduk x 100%</t>
  </si>
  <si>
    <t>Mewujudkan sarana dan prasarana kesehatan yang berkualitas dan terjangkau</t>
  </si>
  <si>
    <t>Misi 2 : Peningkatan kesejahteraan dan perlindungan sosial masyarakat dengan melakukan pemerataan dan penyeimbangan pembangunan secara berkelanjutan untuk mengurangi kesenjangan ekonomi, sosial, politik dan budaya serta melakukan pembangunan yang bukan terfokus hanya pada aspek fisik saja tetapi juga aspek non fisik berupa pengembangan potensi intelektual, rohaniah, intuisi, kata hati, akal sehat, fitrah dan yang bersifat batin lainnya dalam bingkai kebersamaan dan sinergitas antar elemen masyarakat</t>
  </si>
  <si>
    <t>Mewujudkan masyarakat yang tenteram dan tertib berdasarkan kesadaran atas hukum</t>
  </si>
  <si>
    <t>Tertanganinya layanan penerbitan akte 100%</t>
  </si>
  <si>
    <t xml:space="preserve">Terlayaninya pengajuan peneribitan akte kelahiran secara cepat </t>
  </si>
  <si>
    <t>Terlayaninya pengajuan peneribitan akte kematian</t>
  </si>
  <si>
    <t>Jumlah kutipan akta kelahiran yang diterbitkan yang diterbitkan pada tahun Y / Jumlah kelahiran yang terjadi pada tahun Y x 100%</t>
  </si>
  <si>
    <t>Jumlah kutipan akta kematian yang diterbitkan pada tahun X / Jumlah kematian yang terjadi pada tahun Y x 100%</t>
  </si>
  <si>
    <t>Terlayaninya administrasi kependudukan</t>
  </si>
  <si>
    <t>Meningkatnya kapasitas sumberdaya aparatur</t>
  </si>
  <si>
    <t>Jumlah aparatur yang menigkat kapasitasnya/Jumlah aparatur x 100%</t>
  </si>
  <si>
    <t>Capaian peningkatan kapasitas
sumberdaya aparatur</t>
  </si>
  <si>
    <t>Capaian prosentase kinerja perangkat daerah sebesar 96%</t>
  </si>
  <si>
    <t>Capaian prosentase Sumberdaya aparatur yang meningkat kapasitasnya sebesar 97,00%</t>
  </si>
  <si>
    <t>Capaian Kinerja Pelayanan Perangkat Daerah</t>
  </si>
  <si>
    <t>Capaian Kinerja  Perangkat Daerah sebesar 96%</t>
  </si>
  <si>
    <t>Meningkatnya kinerja perangkat daerah</t>
  </si>
  <si>
    <t>(Jumlah persentase capaian kinerja program kabupaten/Jumlah Program)</t>
  </si>
  <si>
    <t>Terlaksananya program-program pembangunan dengan baik</t>
  </si>
  <si>
    <t>Tercapainya target kinerja program pembangunan 90%</t>
  </si>
  <si>
    <t>Capaian kinerja program pembangunan</t>
  </si>
  <si>
    <t xml:space="preserve">Tercapainya penurunan Angka Kemiskinan hingga menjadi sebesar 15,45%  </t>
  </si>
  <si>
    <t>Fasilitasi upaya-upaya penurunan angka kemiskinan</t>
  </si>
  <si>
    <t>Meningkatkan koordinasi untuk perumusan kebijakan penanggulangan kemiskinan</t>
  </si>
  <si>
    <t>Capaian angka kemiskinan yang semakin berkurang</t>
  </si>
  <si>
    <t>Angka kemiskinan kabupaten berdasarkan data Biro Pusat Statistik</t>
  </si>
  <si>
    <t>Prosentase capaian kinerja pelayanan perangkat daerah</t>
  </si>
  <si>
    <t>Meningkatnya minat baca masyarakat</t>
  </si>
  <si>
    <t>Jumlah kelompok sasaran binaan yang difasilitasi / jumlah kelompok sasaran binaan x 100%</t>
  </si>
  <si>
    <t>Meningkatnya upaya fasilitasi kelompok bina keluarga</t>
  </si>
  <si>
    <t xml:space="preserve">Jumlah peserta KB aktif/ Jumlah Pasangan Usia Subur (PUS) x100% </t>
  </si>
  <si>
    <t>Meningkatnya peserta KB Aktif</t>
  </si>
  <si>
    <t>Meningkatkan Keberdayaan Masyarakat melalui upaya peningkatan keluarga sejahtera dan peningkatan peserta KB Aktif</t>
  </si>
  <si>
    <t>Capaian peserta KB Atif sebesar 85,50 %</t>
  </si>
  <si>
    <t>Capaian pembinaan keluaga sejahtera sebesar 32,37 %</t>
  </si>
  <si>
    <t>Capaian pembinaan wawasan kebangsaan dan politik masyarakat sebesar 80%</t>
  </si>
  <si>
    <t>Meningkatnya pembinaan wawasan kebangsaan dan politik massyarakat</t>
  </si>
  <si>
    <t>Capaian pembinaan wawasan kebangsaan dan politik masyarakat</t>
  </si>
  <si>
    <t xml:space="preserve">(Jumlah Pemilih yang Datang ke TPS Menggunakan Hak Pilihnya / Jumlah Daftar Pemilih Tetap x 100%) </t>
  </si>
  <si>
    <t>Capaian partisipasi masyarakat/ penduduk dalam  proses pemilihan umum</t>
  </si>
  <si>
    <t>Meningkatnya partisipasi masyarakat dalam pemilu</t>
  </si>
  <si>
    <t>Capaian partisipasi masyarakat dalam pemilu sebesar 70%</t>
  </si>
  <si>
    <t>Kasus pelanggaran perda semakin berkurang</t>
  </si>
  <si>
    <t xml:space="preserve">Meningkatnya keamanan dan kenyamanan lingkungan </t>
  </si>
  <si>
    <t>Nilai akuntabilitas kinerja B</t>
  </si>
  <si>
    <t>Peningkatan akuntanilitas kinerja pemerintah daerah</t>
  </si>
  <si>
    <t>Nilai Leveling APIP Kabupaten</t>
  </si>
  <si>
    <t xml:space="preserve">Tingkat Maturitas SPIP </t>
  </si>
  <si>
    <t>Meningkatnya nilai akuntabilitas kinerja pemerintah</t>
  </si>
  <si>
    <t xml:space="preserve">Nilai akuntabilitas kinerja </t>
  </si>
  <si>
    <t xml:space="preserve">Nilai Leveling APIP Kabupaten </t>
  </si>
  <si>
    <t>Meningkatnya tingkat maturitas SPIP</t>
  </si>
  <si>
    <t>meningkatnya Nilai Leveling APIP Kabupaten</t>
  </si>
  <si>
    <t>Nilai Tingkat Maturitas SPIP</t>
  </si>
  <si>
    <t>Capaian kesesuaian pemanfaatan ruang sebesar 75%</t>
  </si>
  <si>
    <t xml:space="preserve">Meninkatkan Perencanaan Tata Ruang </t>
  </si>
  <si>
    <t>Mewujudkan kemandirian ekonomi desa yang  berkelanjutan bertumpu pada pemberdayaan masyarakat</t>
  </si>
  <si>
    <t>Terbentuknya Kawasan pedesaan sebanyak 6 lokasi kawasan</t>
  </si>
  <si>
    <t>Jumlah kawasan desa yang terbentuk</t>
  </si>
  <si>
    <t xml:space="preserve">Fasilitasi pemugaran rumah kepada masyarakat desa yang kurang mampu </t>
  </si>
  <si>
    <t>Terfasilitasinya pembangunan perumahan masyarakat kurang mampu</t>
  </si>
  <si>
    <t>Jumlah Prosentase capaian seluruh program/jumlah program x100%</t>
  </si>
  <si>
    <t>((Jumlah Raperda yg ditetapkan/ Jumlah prolegda x 100 %) + (Jumlah kebijakan anggaran yang disepakati tepat waktu/Jumlah kebijakan anggaran yang harus disepakati x 100 %))/2</t>
  </si>
  <si>
    <t>Capaian peningkatan kapasitas lembaga perwakilan rakyat daerah sebesar 70 %</t>
  </si>
  <si>
    <t>Meningkatnya kapasitas kelembagaan perwakilan rakyat daerah</t>
  </si>
  <si>
    <t>Terwujudnya Opini BPK atas LKPD berupa WTP</t>
  </si>
  <si>
    <t>((Jumlah realisasi Pendapatan/target pendapatan x 100 %)+ (Jumlah Realisasi Belanja/Jumlah Anggaran Belanja x 100%)+ (Jumlah penerbitan dokumen keuangan daerah (APBD, Perubahan APBD dan Perhitungan APBD) tepat waktu/Jumlah dokumen keuangan daerah x 100%) + (Jumlah SKPD tertib administrasi aset / Jumlah SKPDx100%))/4</t>
  </si>
  <si>
    <t>Meningkatkan pengelolaan keuangan dan aset daerah</t>
  </si>
  <si>
    <t>Meningkatnya pengelolaan keuangan berupa anggaran belanja daerah,  pendapatan daerah dan  aset daerah dan dokumen keuangan daerah</t>
  </si>
  <si>
    <t>Persentase peningkatan investasi PMA/PMDN sebesar 4,17 %</t>
  </si>
  <si>
    <t>Mendukung Peningkatan daya saing investasi daerah</t>
  </si>
  <si>
    <t>Mendukung Fasilitasi  pelayanan perijinan</t>
  </si>
  <si>
    <t xml:space="preserve">Nilai Survey Kepuasan Masyarakat (IKM) Pelayanan Perijinan Terpadu </t>
  </si>
  <si>
    <t>Meningkatnya pelayanan infrastruktur yang mendukung pengembangan wilayah</t>
  </si>
  <si>
    <t>(Jumlah panjang jalan kabupaten dalam kondisi baik / Jumlah panjang jalan kabupaten) x 100%</t>
  </si>
  <si>
    <t>(Areal Kawasan Kumuh Perkotaan - Penanganan Kawasan Kumuh Perkotaan)/ Areal Kawasan Kumuh Perkotaan x 100%</t>
  </si>
  <si>
    <t>Jumlah RT terlayani air bersih / jumlah rumah tangga x 100%</t>
  </si>
  <si>
    <t>Prosentase berkurangnya luasan kumuh perkotaan</t>
  </si>
  <si>
    <t>Cakupan pelayanan air bersih</t>
  </si>
  <si>
    <t>Jumlah gedung pemerintah dalam kondisi baik/jumlah gedung pemerintah x 100%</t>
  </si>
  <si>
    <t>Jumlah LPJU yang terpasang</t>
  </si>
  <si>
    <t>Jumlah LPJU yang terpasang sejak awal tahun sd tahun berjalan</t>
  </si>
  <si>
    <t>Luas RTH perkotaan/Luas kebutuhan RTH perkotaan x 100%</t>
  </si>
  <si>
    <t>Capaian luas RTH Perkotaan</t>
  </si>
  <si>
    <t>Jumlah rumah layak huni/ Jumlah seluruh rumah x 100%</t>
  </si>
  <si>
    <t>Capaian kondisi jalan kabupaten dalam kondisi infrastruktur jalan dalam kondisi mantap sebesar 70,94%</t>
  </si>
  <si>
    <t>Meningkatnya kondisi jalan kabupaten</t>
  </si>
  <si>
    <t>Capaian gedung pemerintah dalam kondisi baik sebesar87,27%</t>
  </si>
  <si>
    <t>Meningkatnya infrastruktur yang mendukung pelayanan kepada masyarakat</t>
  </si>
  <si>
    <t>Meningkatnya kondisi sarana prasarana pelayanan masyarakat</t>
  </si>
  <si>
    <t>Capaian pelayanan air bersih untuk rumah tangga sebesar16,53%</t>
  </si>
  <si>
    <t>Meningkatnya pelayanan air bersih bagi rumah tangga</t>
  </si>
  <si>
    <t>Jumlah talud/bronjong yang berada pada kondisi dan daya lahan seharusnya sebesar 3200 m3</t>
  </si>
  <si>
    <t xml:space="preserve">Meningkatnya kondisi talud/ bronjong </t>
  </si>
  <si>
    <t>Jumlah LPJU yang terpasang sebanyak 4146 titik</t>
  </si>
  <si>
    <t>Meningkatnya penerangan jalan umum</t>
  </si>
  <si>
    <t>Meningkatnya pengendalian pemanfaatan ruang</t>
  </si>
  <si>
    <t>Capaian Luas RTH Perkotaan sebesar 17,45%</t>
  </si>
  <si>
    <t>Bertambahnya luas RTH Perkotaan</t>
  </si>
  <si>
    <t>Luasan pemukiman kumuh perkotaan berkurang hingga menjadi sebesar 5%</t>
  </si>
  <si>
    <t>Tertanganinya pemukiman kumuh perkotaan</t>
  </si>
  <si>
    <t>Jumlah sampah yang tertangani/Jumlah produksi sampah x 100%</t>
  </si>
  <si>
    <t>Cakupan pelayanan  sampah</t>
  </si>
  <si>
    <t>Prosentase sampah yang tertangani sebasar 42,94%</t>
  </si>
  <si>
    <t>Mrningkatnya pengelolaan persampahan</t>
  </si>
  <si>
    <t>Meningkatnya pelayanan perangkat daerah</t>
  </si>
  <si>
    <t>capaian jaringan irigasi dalam kondisi mantap sebesar 89%</t>
  </si>
  <si>
    <t xml:space="preserve">Prosentase jaringan Irigasi kondisi mantap </t>
  </si>
  <si>
    <t>(Jumlah jaringan irigasi dalam kondisi baik / jumlah panjang jaringan irigasi) x 100%</t>
  </si>
  <si>
    <t>Capaian jaringan irigasi kewenangan kabupaten dalam kondisi baik</t>
  </si>
  <si>
    <t xml:space="preserve">Meningkatnya pengelolaan jaringan irigasi </t>
  </si>
  <si>
    <t>Jumlah Rumah Tangga yang sudah berlistrik/Jumlah Rumah Tangga x 100%</t>
  </si>
  <si>
    <t>Rasio elektrifikasi</t>
  </si>
  <si>
    <t>Capaian rasio elektrifikasi sebesar 95%</t>
  </si>
  <si>
    <t>Meningkatnya jumlah dukuh berlistrik yang berkualitas</t>
  </si>
  <si>
    <t>Prosentase terpenuhinya kebutuhan air bersih saat kemarau sebesar 45,54%</t>
  </si>
  <si>
    <t>Meningkatnya pengelolaan air baku</t>
  </si>
  <si>
    <t>Terpenuhinya kebutuhan air bersih pada saat musim kemarau</t>
  </si>
  <si>
    <t>?</t>
  </si>
  <si>
    <t>Fasilitasi penyediaan air bersih di daerah krisis</t>
  </si>
  <si>
    <t>Banyaknya lokasi krisis yang tertangani/jumlah daerah krisis x 100%</t>
  </si>
  <si>
    <t>Indeks Kualitas Lingkungan sebesar 22,5%</t>
  </si>
  <si>
    <t>Fasilitasi perlindungan infrastruktur dan masyarakat dari bencana</t>
  </si>
  <si>
    <t>Meningkatnya kualitas layanan transportasi</t>
  </si>
  <si>
    <t>(Jumlah sarana kelengkapan jalan dalam kondisi baik/jumlah sarana kelengkapan jalan yg seharusnya adax100%)+(Jumlah sarana prasarana LLAJ dlm kondisi baik/Jumlah sarana prasarana LLAJ yang seharusnya ada x 100%)+(Jumlah pengamanan lalu lintas yang dilaksanakan/ Jumlah rencana pengamanan lalu lintas x 100%)/3</t>
  </si>
  <si>
    <t>Cakupan layanan transportasi sebesar 83,33%</t>
  </si>
  <si>
    <t>((Jumlah zona layanan komunikasi yang ada/Jumlah zona layanan telekomunikasi yang seharusnya ada) x 100%)</t>
  </si>
  <si>
    <t>Meningkatnya infrastruktur yang mendukung pelayanan transportasi dan kumunikasi  masyarakat</t>
  </si>
  <si>
    <t>Tercapainya layanan komunikasi sebesar 100%</t>
  </si>
  <si>
    <t>Meningkatnya kualitas layanan komunikasi</t>
  </si>
  <si>
    <r>
      <rPr>
        <b/>
        <i/>
        <u/>
        <sz val="9"/>
        <rFont val="Bookman Old Style"/>
        <family val="1"/>
      </rPr>
      <t xml:space="preserve">Misi 3 </t>
    </r>
    <r>
      <rPr>
        <b/>
        <sz val="9"/>
        <rFont val="Bookman Old Style"/>
        <family val="1"/>
      </rPr>
      <t>: Mewujudkan kemandirian ekonomi daerah yang berbasis pada pertanian dalam arti luas, industri dan pariwisata yang berdaya saing dan berkelanjutan bertumpu pada pemberdayaan masyarakat</t>
    </r>
  </si>
  <si>
    <t>Capaian Indeks Kualitas Lingkungan Hidup sebesar 22,50%</t>
  </si>
  <si>
    <t>Penurunan beban pencemaran lingkungan dan penanganan konservasi sumberdaya alam</t>
  </si>
  <si>
    <t xml:space="preserve">Diberdayakannya lembaga kesejahteraan sosial, fakir miskin, KAT dan PMKS lainnya  </t>
  </si>
  <si>
    <t>Cakupan penanganan PMKS</t>
  </si>
  <si>
    <t xml:space="preserve">(Jumlah PMKS yang menerima bantuan sosial + Jumlah PMKS yang memperoleh pemberdayaan sosial)/Jumlah PMKS x 100% </t>
  </si>
  <si>
    <t>Menurunnya Angka Pengangguran hingga menjadi sebesar 1,97%</t>
  </si>
  <si>
    <t>((Jumlah penempatan tenaga kerja/Jumlah pencari kerja yang terdaftarx100%) + (Jumlah peserta pelatihan yang terserap di dunia kerja tahun n-1/Jumlah peserta pelatihan tahun n-1x100%))/2</t>
  </si>
  <si>
    <t>Capaian peningkatan keterserapan tenaga kerja</t>
  </si>
  <si>
    <t>Terbinanya dan terfasilitasinya desa yang berpotensi menjadi kawasan pedesaan</t>
  </si>
  <si>
    <t>Pembinaan dan fasilitasi desa yang desa yang berpotensi menjadi kawasan pedesaan</t>
  </si>
  <si>
    <t>Meningkatnya nilai investasi PMA/PMDN</t>
  </si>
  <si>
    <t>Peningkatan daya saing investasi daerah</t>
  </si>
  <si>
    <t xml:space="preserve">Nilai Investasi PMA/PMDN </t>
  </si>
  <si>
    <t>Meningkatnya Angka Pertumbuhan ekonomi menjadi sebesar 6%</t>
  </si>
  <si>
    <t>Meingkatnya industri kecil dan menengah</t>
  </si>
  <si>
    <t>Jumlah usaha perdagangan berijin</t>
  </si>
  <si>
    <t>Jumlah usaha perdagangan berizin</t>
  </si>
  <si>
    <t>Meningkatnya Angka Pertumbuhan ekonomi hingga menjadi sebesar 6 %</t>
  </si>
  <si>
    <t>Persentase penanganan kerawanan pangan</t>
  </si>
  <si>
    <t>Persentase kelompok/ gapoktan yang tertangani stabilitas harga pangannya</t>
  </si>
  <si>
    <t>Persentase kelompok wanita yang melaksanakan pengembangan penganekaragaman konsumsi pangan</t>
  </si>
  <si>
    <t>Jumlah desa tertangani/desa rawan pangan (131 desa)x 100%</t>
  </si>
  <si>
    <t>Jumlah kelompok tani/ gapoktan tertangani dibanding dengan kelompok tani/gapoktan (460 Gapoktan) x 100%</t>
  </si>
  <si>
    <t>Jumlah kelompok desa pelaksana P2KP di banding dengan jumlah kelompok wanita desa (460 kelompok) x 100%</t>
  </si>
  <si>
    <t>Tertanganinya penanganan rawan pangan</t>
  </si>
  <si>
    <t>Tertanganinya stabilitas harga pangan</t>
  </si>
  <si>
    <t>Meningkatnya penganekaragaman konsumsi pangan</t>
  </si>
  <si>
    <t>Meningkatkan ketahanan pangan dalam rangka meningkatkan kinerja ekonomi dan pendapatan masyarakat</t>
  </si>
  <si>
    <t>Angka Nilai Tukar Petani (NTP)</t>
  </si>
  <si>
    <t>nilai/angka</t>
  </si>
  <si>
    <t>Pengembangan dan pengelolaan pertanian  dalam rangka meningkatkan kinerja ekonomi dan pendapatan masyarakat</t>
  </si>
  <si>
    <t>Meningkatnya produksi pertanian</t>
  </si>
  <si>
    <t xml:space="preserve">Jumlah produksi padi/Luas panen padi </t>
  </si>
  <si>
    <t>Jumlah produksi jagung/ Luas panen jagung</t>
  </si>
  <si>
    <t>Jumlah produksi kedelai/Luas panen kedelai</t>
  </si>
  <si>
    <t>Produktivitas padi</t>
  </si>
  <si>
    <t>Produktivitas jagung</t>
  </si>
  <si>
    <t>Produktivitas  kedelai</t>
  </si>
  <si>
    <t>Kenaikan Angka Nilai Tukar Petani (NTP)</t>
  </si>
  <si>
    <t>Produksi daging</t>
  </si>
  <si>
    <t>Produksi Telur</t>
  </si>
  <si>
    <t>Jumlah pelayanan kesehatan hewan</t>
  </si>
  <si>
    <t>Bertambahnya populasi ternak unggas</t>
  </si>
  <si>
    <t>Produksi daging dalam 1 tahun</t>
  </si>
  <si>
    <t>Produksi telur dalam 1 tahun</t>
  </si>
  <si>
    <t>Meningkatnya produksi peternakan</t>
  </si>
  <si>
    <t>Pengembangan dan pengelolaan perikanan dalam rangka meningkatkan kinerja ekonomi dan pendapatan masyarakat</t>
  </si>
  <si>
    <t>Produksi ikan budidaya + Produksi ikan tangkap dalam 1 tahun</t>
  </si>
  <si>
    <t>Meningkatnya produksi perikanan</t>
  </si>
  <si>
    <t>Produksi ikan</t>
  </si>
  <si>
    <t>Meningkatnya Konsumsi hasil perikanan</t>
  </si>
  <si>
    <t>Angka konsumsi ikan</t>
  </si>
  <si>
    <t>Jumlah produksi perikanan/jumlah penduduk</t>
  </si>
  <si>
    <t>Pengembangan dan pengelolaan perkebunan dalam rangka meningkatkan kinerja ekonomi dan pendapatan masyarakat</t>
  </si>
  <si>
    <t>Meningkatnya produksi perkebunan</t>
  </si>
  <si>
    <t>Jumlah produksi kelapa setiap tahun</t>
  </si>
  <si>
    <t>Jumlah produksi tembakau setiap tahun</t>
  </si>
  <si>
    <t>Produksi kelapa</t>
  </si>
  <si>
    <t>Produksi tembakau</t>
  </si>
  <si>
    <t>Produksi kayu bulat dalam 1 tahun</t>
  </si>
  <si>
    <t>Produksi kayu bulat</t>
  </si>
  <si>
    <t>Meningkatnya produksi hasil hutan</t>
  </si>
  <si>
    <t>Capaian kunjungan wisata sebesar17,26%</t>
  </si>
  <si>
    <t>Meningkatnya destinasi dan pemasaran pariwisata</t>
  </si>
  <si>
    <t>Jumlah kunjungan wisatawan per tahun</t>
  </si>
  <si>
    <t>Nilai Rata-Rata hari lama tinggal wisatawan</t>
  </si>
  <si>
    <t>Lama tinggal wisatawan</t>
  </si>
  <si>
    <t>hari</t>
  </si>
  <si>
    <t>((Jumlah organisasi budaya kategori maju (memiliki perijinan lengkap dan kegiatannya rutin)/Jumlah organisasi budaya x 100%) + (Jumlah Desa Budaya kategori maju/Jumlah Desa Budaya x 100%))/2</t>
  </si>
  <si>
    <t>Capaian peningkatan partisipasi masyarakat dalam pengembangan nilai budaya</t>
  </si>
  <si>
    <t>Meningkatnya partisipasi masyarakat dalam pengembangan kebudayaan</t>
  </si>
  <si>
    <t>Meningkatkan kunjungan wisatawan melalui pengembangan pariwisata</t>
  </si>
  <si>
    <t>Fasilitasi Pengelolaan keragaman budaya dan pengembangan kesenian</t>
  </si>
  <si>
    <t>Capaian partisipasi masyarakat dalam pengembangan nilai budaya sebesar 69,23 %</t>
  </si>
  <si>
    <t>Pengembangan UMKM dalam rangka meningkatkan kinerja ekonomi dan pendapatan masyarakat</t>
  </si>
  <si>
    <t>Pengembangan Kewirausahaan UMKM</t>
  </si>
  <si>
    <t>Jumlah UMKM</t>
  </si>
  <si>
    <t>Pengembangan kelembagaan koperasi</t>
  </si>
  <si>
    <t>Bertambahnya Jumlah koperasi aktif</t>
  </si>
  <si>
    <t>Pengembangan Industri dalam rangka meningkatkan kinerja ekonomi dan pendapatan masyarakat</t>
  </si>
  <si>
    <t>Jumlah industri kecil dan menengah  per tahun</t>
  </si>
  <si>
    <t>Jumlah Kawasan Industri yang terbangun</t>
  </si>
  <si>
    <t>Terbangunnya kawasan industri</t>
  </si>
  <si>
    <t>Pembentukan kawasan industri</t>
  </si>
  <si>
    <t>Fasilitasi usaha perdagangan dan pengembangan pasar daerah</t>
  </si>
  <si>
    <t>Pengembangan usaha perdagangan dalam rangka meningkatkan kinerja ekonomi dan pendapatan masyarakat</t>
  </si>
  <si>
    <t>Jumlah industri kecil menengah</t>
  </si>
  <si>
    <t>Pengembangan industri kecil dan menengah</t>
  </si>
  <si>
    <t>Terfasilitasinya kesehatan anak sekolah</t>
  </si>
  <si>
    <t>53. Terbentuknya Unit Usaha Syariah pada BUMD</t>
  </si>
  <si>
    <t>Terbentuknya BUMD Syariah</t>
  </si>
  <si>
    <t>Jumlah Anggaran BPKAD</t>
  </si>
  <si>
    <t>Pengendaian Kas  Daerah</t>
  </si>
  <si>
    <t>BPKAD</t>
  </si>
  <si>
    <t>Terbayarnya Honor PTT</t>
  </si>
  <si>
    <t>Pengelolaan Belanja Langsung</t>
  </si>
  <si>
    <t>Pengelolaan Belanja Tidak Langsung</t>
  </si>
  <si>
    <t>Penyusunan rancangan regulasi pengelolaan keuangan/aset daerah</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</si>
</sst>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quot;Rp&quot;#,##0_);[Red]\(&quot;Rp&quot;#,##0\)"/>
    <numFmt numFmtId="165" formatCode="_(&quot;Rp&quot;* #,##0_);_(&quot;Rp&quot;* \(#,##0\);_(&quot;Rp&quot;* &quot;-&quot;_);_(@_)"/>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_(* #,##0_);_(* \(#,##0\);_(* &quot;-&quot;??_);_(@_)"/>
    <numFmt numFmtId="171" formatCode="0.0%"/>
    <numFmt numFmtId="172" formatCode="_(* #,##0.00_);_(* \(#,##0.00\);_(* &quot;-&quot;_);_(@_)"/>
    <numFmt numFmtId="173" formatCode="_(* #,##0.0_);_(* \(#,##0.0\);_(* &quot;-&quot;_);_(@_)"/>
    <numFmt numFmtId="174" formatCode="#,###"/>
    <numFmt numFmtId="175" formatCode="_(* #,##0.000_);_(* \(#,##0.000\);_(* &quot;-&quot;_);_(@_)"/>
    <numFmt numFmtId="176" formatCode="_(* #,##0.000_);_(* \(#,##0.000\);_(* &quot;-&quot;??_);_(@_)"/>
    <numFmt numFmtId="177" formatCode="#,##0;[Red]#,##0"/>
  </numFmts>
  <fonts count="54" x14ac:knownFonts="1">
    <font>
      <sz val="11"/>
      <color theme="1"/>
      <name val="Calibri"/>
      <family val="2"/>
      <charset val="1"/>
      <scheme val="minor"/>
    </font>
    <font>
      <sz val="11"/>
      <color indexed="8"/>
      <name val="Calibri"/>
      <family val="2"/>
      <charset val="1"/>
    </font>
    <font>
      <b/>
      <sz val="9"/>
      <name val="Bookman Old Style"/>
      <family val="1"/>
    </font>
    <font>
      <sz val="9"/>
      <name val="Bookman Old Style"/>
      <family val="1"/>
    </font>
    <font>
      <u/>
      <sz val="9"/>
      <name val="Bookman Old Style"/>
      <family val="1"/>
    </font>
    <font>
      <sz val="9"/>
      <color indexed="8"/>
      <name val="Bookman Old Style"/>
      <family val="1"/>
    </font>
    <font>
      <sz val="10"/>
      <name val="Bookman Old Style"/>
      <family val="1"/>
    </font>
    <font>
      <b/>
      <sz val="9"/>
      <color indexed="8"/>
      <name val="Bookman Old Style"/>
      <family val="1"/>
    </font>
    <font>
      <i/>
      <sz val="9"/>
      <name val="Bookman Old Style"/>
      <family val="1"/>
    </font>
    <font>
      <b/>
      <sz val="10"/>
      <name val="Bookman Old Style"/>
      <family val="1"/>
    </font>
    <font>
      <sz val="10"/>
      <name val="Arial"/>
      <family val="2"/>
    </font>
    <font>
      <sz val="11"/>
      <color indexed="8"/>
      <name val="Calibri"/>
      <family val="2"/>
      <charset val="1"/>
    </font>
    <font>
      <strike/>
      <sz val="9"/>
      <name val="Bookman Old Style"/>
      <family val="1"/>
    </font>
    <font>
      <b/>
      <sz val="9"/>
      <color indexed="81"/>
      <name val="Tahoma"/>
      <family val="2"/>
    </font>
    <font>
      <sz val="9"/>
      <color indexed="81"/>
      <name val="Tahoma"/>
      <family val="2"/>
    </font>
    <font>
      <i/>
      <u/>
      <sz val="9"/>
      <name val="Bookman Old Style"/>
      <family val="1"/>
    </font>
    <font>
      <b/>
      <sz val="8"/>
      <name val="Bookman Old Style"/>
      <family val="1"/>
    </font>
    <font>
      <sz val="11"/>
      <color indexed="8"/>
      <name val="Calibri"/>
      <family val="2"/>
      <charset val="1"/>
    </font>
    <font>
      <sz val="11"/>
      <color indexed="8"/>
      <name val="Calibri"/>
      <family val="2"/>
    </font>
    <font>
      <b/>
      <sz val="9"/>
      <color indexed="8"/>
      <name val="Bookman Old Style"/>
      <family val="1"/>
    </font>
    <font>
      <u/>
      <sz val="11"/>
      <color indexed="30"/>
      <name val="Calibri"/>
      <family val="2"/>
      <charset val="1"/>
    </font>
    <font>
      <sz val="8"/>
      <name val="Bookman Old Style"/>
      <family val="1"/>
    </font>
    <font>
      <b/>
      <i/>
      <u/>
      <sz val="9"/>
      <name val="Bookman Old Style"/>
      <family val="1"/>
    </font>
    <font>
      <sz val="11"/>
      <color theme="1"/>
      <name val="Calibri"/>
      <family val="2"/>
      <charset val="1"/>
      <scheme val="minor"/>
    </font>
    <font>
      <sz val="11"/>
      <color theme="0"/>
      <name val="Calibri"/>
      <family val="2"/>
      <charset val="1"/>
      <scheme val="minor"/>
    </font>
    <font>
      <sz val="11"/>
      <color rgb="FF9C0006"/>
      <name val="Calibri"/>
      <family val="2"/>
      <charset val="1"/>
      <scheme val="minor"/>
    </font>
    <font>
      <b/>
      <sz val="11"/>
      <color rgb="FFFA7D00"/>
      <name val="Calibri"/>
      <family val="2"/>
      <charset val="1"/>
      <scheme val="minor"/>
    </font>
    <font>
      <b/>
      <sz val="11"/>
      <color theme="0"/>
      <name val="Calibri"/>
      <family val="2"/>
      <charset val="1"/>
      <scheme val="minor"/>
    </font>
    <font>
      <sz val="11"/>
      <color theme="1"/>
      <name val="Calibri"/>
      <family val="2"/>
      <scheme val="minor"/>
    </font>
    <font>
      <i/>
      <sz val="11"/>
      <color rgb="FF7F7F7F"/>
      <name val="Calibri"/>
      <family val="2"/>
      <charset val="1"/>
      <scheme val="minor"/>
    </font>
    <font>
      <sz val="11"/>
      <color rgb="FF006100"/>
      <name val="Calibri"/>
      <family val="2"/>
      <charset val="1"/>
      <scheme val="minor"/>
    </font>
    <font>
      <b/>
      <sz val="15"/>
      <color theme="3"/>
      <name val="Calibri"/>
      <family val="2"/>
      <charset val="1"/>
      <scheme val="minor"/>
    </font>
    <font>
      <b/>
      <sz val="13"/>
      <color theme="3"/>
      <name val="Calibri"/>
      <family val="2"/>
      <charset val="1"/>
      <scheme val="minor"/>
    </font>
    <font>
      <b/>
      <sz val="11"/>
      <color theme="3"/>
      <name val="Calibri"/>
      <family val="2"/>
      <charset val="1"/>
      <scheme val="minor"/>
    </font>
    <font>
      <sz val="11"/>
      <color rgb="FF3F3F76"/>
      <name val="Calibri"/>
      <family val="2"/>
      <charset val="1"/>
      <scheme val="minor"/>
    </font>
    <font>
      <sz val="11"/>
      <color rgb="FFFA7D00"/>
      <name val="Calibri"/>
      <family val="2"/>
      <charset val="1"/>
      <scheme val="minor"/>
    </font>
    <font>
      <sz val="11"/>
      <color rgb="FF9C6500"/>
      <name val="Calibri"/>
      <family val="2"/>
      <charset val="1"/>
      <scheme val="minor"/>
    </font>
    <font>
      <b/>
      <sz val="11"/>
      <color rgb="FF3F3F3F"/>
      <name val="Calibri"/>
      <family val="2"/>
      <charset val="1"/>
      <scheme val="minor"/>
    </font>
    <font>
      <sz val="11"/>
      <color rgb="FF000000"/>
      <name val="Calibri"/>
      <family val="2"/>
      <charset val="1"/>
    </font>
    <font>
      <b/>
      <sz val="18"/>
      <color theme="3"/>
      <name val="Cambria"/>
      <family val="2"/>
      <charset val="1"/>
      <scheme val="major"/>
    </font>
    <font>
      <b/>
      <sz val="11"/>
      <color theme="1"/>
      <name val="Calibri"/>
      <family val="2"/>
      <charset val="1"/>
      <scheme val="minor"/>
    </font>
    <font>
      <sz val="11"/>
      <color rgb="FFFF0000"/>
      <name val="Calibri"/>
      <family val="2"/>
      <charset val="1"/>
      <scheme val="minor"/>
    </font>
    <font>
      <b/>
      <sz val="9"/>
      <color theme="1"/>
      <name val="Bookman Old Style"/>
      <family val="1"/>
    </font>
    <font>
      <b/>
      <sz val="14"/>
      <name val="Calibri"/>
      <family val="2"/>
      <scheme val="minor"/>
    </font>
    <font>
      <sz val="11"/>
      <name val="Calibri"/>
      <family val="2"/>
      <charset val="1"/>
      <scheme val="minor"/>
    </font>
    <font>
      <sz val="9"/>
      <color theme="1"/>
      <name val="Bookman Old Style"/>
      <family val="1"/>
    </font>
    <font>
      <sz val="9"/>
      <color rgb="FF000000"/>
      <name val="Bookman Old Style"/>
      <family val="1"/>
    </font>
    <font>
      <sz val="9"/>
      <color rgb="FFFF0000"/>
      <name val="Bookman Old Style"/>
      <family val="1"/>
    </font>
    <font>
      <b/>
      <sz val="9"/>
      <color rgb="FF000000"/>
      <name val="Bookman Old Style"/>
      <family val="1"/>
    </font>
    <font>
      <sz val="9"/>
      <color theme="1"/>
      <name val="Calibri"/>
      <family val="2"/>
      <charset val="1"/>
      <scheme val="minor"/>
    </font>
    <font>
      <sz val="12"/>
      <color theme="1"/>
      <name val="Calibri"/>
      <family val="2"/>
      <scheme val="minor"/>
    </font>
    <font>
      <sz val="11"/>
      <name val="Calibri"/>
      <family val="2"/>
      <scheme val="minor"/>
    </font>
    <font>
      <b/>
      <sz val="9"/>
      <color rgb="FFFF0000"/>
      <name val="Bookman Old Style"/>
      <family val="1"/>
    </font>
    <font>
      <b/>
      <sz val="16"/>
      <color theme="1"/>
      <name val="Calibri"/>
      <family val="2"/>
      <scheme val="minor"/>
    </font>
  </fonts>
  <fills count="38">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bottom/>
      <diagonal/>
    </border>
    <border>
      <left/>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top/>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8"/>
      </left>
      <right style="double">
        <color indexed="8"/>
      </right>
      <top style="thin">
        <color indexed="8"/>
      </top>
      <bottom style="thin">
        <color indexed="8"/>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double">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double">
        <color indexed="8"/>
      </right>
      <top/>
      <bottom/>
      <diagonal/>
    </border>
    <border>
      <left style="thin">
        <color indexed="8"/>
      </left>
      <right style="double">
        <color indexed="8"/>
      </right>
      <top/>
      <bottom style="thin">
        <color indexed="8"/>
      </bottom>
      <diagonal/>
    </border>
    <border>
      <left style="thin">
        <color indexed="8"/>
      </left>
      <right/>
      <top style="thin">
        <color indexed="8"/>
      </top>
      <bottom/>
      <diagonal/>
    </border>
    <border>
      <left style="thin">
        <color indexed="8"/>
      </left>
      <right/>
      <top/>
      <bottom/>
      <diagonal/>
    </border>
    <border>
      <left style="thin">
        <color indexed="64"/>
      </left>
      <right style="thin">
        <color indexed="8"/>
      </right>
      <top style="thin">
        <color indexed="64"/>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right style="thin">
        <color indexed="8"/>
      </right>
      <top/>
      <bottom/>
      <diagonal/>
    </border>
    <border>
      <left style="double">
        <color indexed="8"/>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thin">
        <color indexed="8"/>
      </left>
      <right style="thin">
        <color indexed="8"/>
      </right>
      <top style="thin">
        <color indexed="64"/>
      </top>
      <bottom/>
      <diagonal/>
    </border>
    <border>
      <left/>
      <right/>
      <top style="thin">
        <color indexed="64"/>
      </top>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right/>
      <top style="double">
        <color indexed="64"/>
      </top>
      <bottom/>
      <diagonal/>
    </border>
    <border>
      <left style="medium">
        <color indexed="9"/>
      </left>
      <right/>
      <top style="medium">
        <color indexed="9"/>
      </top>
      <bottom/>
      <diagonal/>
    </border>
    <border>
      <left style="thin">
        <color indexed="64"/>
      </left>
      <right style="thin">
        <color indexed="64"/>
      </right>
      <top style="hair">
        <color indexed="64"/>
      </top>
      <bottom/>
      <diagonal/>
    </border>
    <border>
      <left style="double">
        <color indexed="64"/>
      </left>
      <right/>
      <top style="thin">
        <color indexed="64"/>
      </top>
      <bottom style="thin">
        <color indexed="64"/>
      </bottom>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bottom/>
      <diagonal/>
    </border>
    <border>
      <left/>
      <right style="double">
        <color indexed="64"/>
      </right>
      <top/>
      <bottom style="thin">
        <color indexed="64"/>
      </bottom>
      <diagonal/>
    </border>
    <border>
      <left style="double">
        <color indexed="64"/>
      </left>
      <right/>
      <top/>
      <bottom/>
      <diagonal/>
    </border>
    <border>
      <left style="double">
        <color indexed="64"/>
      </left>
      <right/>
      <top/>
      <bottom style="thin">
        <color indexed="64"/>
      </bottom>
      <diagonal/>
    </border>
    <border>
      <left/>
      <right style="double">
        <color indexed="64"/>
      </right>
      <top style="thin">
        <color indexed="64"/>
      </top>
      <bottom/>
      <diagonal/>
    </border>
    <border>
      <left/>
      <right style="thin">
        <color indexed="8"/>
      </right>
      <top style="thin">
        <color indexed="8"/>
      </top>
      <bottom style="thin">
        <color indexed="8"/>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thin">
        <color indexed="64"/>
      </left>
      <right style="double">
        <color indexed="64"/>
      </right>
      <top style="double">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theme="0"/>
      </left>
      <right/>
      <top style="medium">
        <color theme="0"/>
      </top>
      <bottom/>
      <diagonal/>
    </border>
    <border>
      <left style="thin">
        <color rgb="FF111111"/>
      </left>
      <right style="thin">
        <color rgb="FF111111"/>
      </right>
      <top style="thin">
        <color rgb="FF111111"/>
      </top>
      <bottom style="thin">
        <color rgb="FF111111"/>
      </bottom>
      <diagonal/>
    </border>
    <border>
      <left style="thin">
        <color rgb="FF111111"/>
      </left>
      <right style="thin">
        <color rgb="FF111111"/>
      </right>
      <top style="thin">
        <color rgb="FF111111"/>
      </top>
      <bottom/>
      <diagonal/>
    </border>
    <border>
      <left style="thin">
        <color rgb="FF111111"/>
      </left>
      <right style="thin">
        <color rgb="FF111111"/>
      </right>
      <top/>
      <bottom style="thin">
        <color rgb="FF111111"/>
      </bottom>
      <diagonal/>
    </border>
    <border>
      <left style="thin">
        <color rgb="FF111111"/>
      </left>
      <right style="thin">
        <color rgb="FF111111"/>
      </right>
      <top/>
      <bottom/>
      <diagonal/>
    </border>
  </borders>
  <cellStyleXfs count="86">
    <xf numFmtId="0" fontId="0" fillId="0" borderId="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27" borderId="0" applyNumberFormat="0" applyBorder="0" applyAlignment="0" applyProtection="0"/>
    <xf numFmtId="0" fontId="26" fillId="28" borderId="83" applyNumberFormat="0" applyAlignment="0" applyProtection="0"/>
    <xf numFmtId="0" fontId="27" fillId="29" borderId="84" applyNumberFormat="0" applyAlignment="0" applyProtection="0"/>
    <xf numFmtId="167" fontId="17" fillId="0" borderId="0" applyFont="0" applyFill="0" applyBorder="0" applyAlignment="0" applyProtection="0"/>
    <xf numFmtId="166" fontId="17"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28" fillId="0" borderId="0" applyFont="0" applyFill="0" applyBorder="0" applyAlignment="0" applyProtection="0"/>
    <xf numFmtId="166" fontId="18" fillId="0" borderId="0" applyFont="0" applyFill="0" applyBorder="0" applyAlignment="0" applyProtection="0"/>
    <xf numFmtId="166" fontId="1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0" fillId="0" borderId="0" applyFont="0" applyFill="0" applyBorder="0" applyAlignment="0" applyProtection="0"/>
    <xf numFmtId="166" fontId="18" fillId="0" borderId="0" applyFont="0" applyFill="0" applyBorder="0" applyAlignment="0" applyProtection="0"/>
    <xf numFmtId="167" fontId="2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5" fontId="11" fillId="0" borderId="0" applyFont="0" applyFill="0" applyBorder="0" applyAlignment="0" applyProtection="0"/>
    <xf numFmtId="168" fontId="18" fillId="0" borderId="0" applyFont="0" applyFill="0" applyBorder="0" applyAlignment="0" applyProtection="0"/>
    <xf numFmtId="0" fontId="29" fillId="0" borderId="0" applyNumberFormat="0" applyFill="0" applyBorder="0" applyAlignment="0" applyProtection="0"/>
    <xf numFmtId="0" fontId="30" fillId="30" borderId="0" applyNumberFormat="0" applyBorder="0" applyAlignment="0" applyProtection="0"/>
    <xf numFmtId="0" fontId="31" fillId="0" borderId="85" applyNumberFormat="0" applyFill="0" applyAlignment="0" applyProtection="0"/>
    <xf numFmtId="0" fontId="32" fillId="0" borderId="86" applyNumberFormat="0" applyFill="0" applyAlignment="0" applyProtection="0"/>
    <xf numFmtId="0" fontId="33" fillId="0" borderId="87" applyNumberFormat="0" applyFill="0" applyAlignment="0" applyProtection="0"/>
    <xf numFmtId="0" fontId="33" fillId="0" borderId="0" applyNumberFormat="0" applyFill="0" applyBorder="0" applyAlignment="0" applyProtection="0"/>
    <xf numFmtId="0" fontId="20" fillId="0" borderId="0" applyNumberFormat="0" applyFill="0" applyBorder="0" applyAlignment="0" applyProtection="0"/>
    <xf numFmtId="0" fontId="34" fillId="31" borderId="83" applyNumberFormat="0" applyAlignment="0" applyProtection="0"/>
    <xf numFmtId="0" fontId="35" fillId="0" borderId="88" applyNumberFormat="0" applyFill="0" applyAlignment="0" applyProtection="0"/>
    <xf numFmtId="0" fontId="36" fillId="32" borderId="0" applyNumberFormat="0" applyBorder="0" applyAlignment="0" applyProtection="0"/>
    <xf numFmtId="0" fontId="28" fillId="0" borderId="0"/>
    <xf numFmtId="0" fontId="28" fillId="0" borderId="0"/>
    <xf numFmtId="0" fontId="28" fillId="0" borderId="0"/>
    <xf numFmtId="0" fontId="11" fillId="0" borderId="0"/>
    <xf numFmtId="0" fontId="23" fillId="0" borderId="0"/>
    <xf numFmtId="0" fontId="28" fillId="0" borderId="0"/>
    <xf numFmtId="0" fontId="28" fillId="0" borderId="0"/>
    <xf numFmtId="0" fontId="28" fillId="0" borderId="0"/>
    <xf numFmtId="0" fontId="28" fillId="0" borderId="0"/>
    <xf numFmtId="0" fontId="28" fillId="0" borderId="0"/>
    <xf numFmtId="0" fontId="10" fillId="0" borderId="0"/>
    <xf numFmtId="0" fontId="28" fillId="0" borderId="0"/>
    <xf numFmtId="0" fontId="11" fillId="0" borderId="0"/>
    <xf numFmtId="0" fontId="17" fillId="33" borderId="89" applyNumberFormat="0" applyFont="0" applyAlignment="0" applyProtection="0"/>
    <xf numFmtId="0" fontId="37" fillId="28" borderId="90" applyNumberFormat="0" applyAlignment="0" applyProtection="0"/>
    <xf numFmtId="9" fontId="17"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0" fillId="0" borderId="0" applyFont="0" applyFill="0" applyBorder="0" applyAlignment="0" applyProtection="0"/>
    <xf numFmtId="0" fontId="38" fillId="0" borderId="0"/>
    <xf numFmtId="0" fontId="39" fillId="0" borderId="0" applyNumberFormat="0" applyFill="0" applyBorder="0" applyAlignment="0" applyProtection="0"/>
    <xf numFmtId="0" fontId="40" fillId="0" borderId="91" applyNumberFormat="0" applyFill="0" applyAlignment="0" applyProtection="0"/>
    <xf numFmtId="0" fontId="41" fillId="0" borderId="0" applyNumberFormat="0" applyFill="0" applyBorder="0" applyAlignment="0" applyProtection="0"/>
  </cellStyleXfs>
  <cellXfs count="2135">
    <xf numFmtId="0" fontId="0" fillId="0" borderId="0" xfId="0"/>
    <xf numFmtId="0" fontId="2" fillId="0" borderId="1" xfId="70" applyFont="1" applyFill="1" applyBorder="1" applyAlignment="1">
      <alignment horizontal="center" vertical="top" wrapText="1"/>
    </xf>
    <xf numFmtId="0" fontId="3" fillId="0" borderId="1" xfId="70" applyFont="1" applyFill="1" applyBorder="1" applyAlignment="1">
      <alignment vertical="top" wrapText="1"/>
    </xf>
    <xf numFmtId="0" fontId="3" fillId="0" borderId="1" xfId="70" applyFont="1" applyFill="1" applyBorder="1" applyAlignment="1">
      <alignment horizontal="right" vertical="top" wrapText="1"/>
    </xf>
    <xf numFmtId="0" fontId="3" fillId="0" borderId="1" xfId="80" applyNumberFormat="1" applyFont="1" applyFill="1" applyBorder="1" applyAlignment="1">
      <alignment horizontal="right" vertical="top" wrapText="1"/>
    </xf>
    <xf numFmtId="0" fontId="2" fillId="0" borderId="1" xfId="80" applyNumberFormat="1" applyFont="1" applyFill="1" applyBorder="1" applyAlignment="1">
      <alignment horizontal="right" vertical="top" wrapText="1"/>
    </xf>
    <xf numFmtId="0" fontId="3" fillId="0" borderId="2" xfId="80" applyNumberFormat="1" applyFont="1" applyFill="1" applyBorder="1" applyAlignment="1">
      <alignment horizontal="right" vertical="top" wrapText="1"/>
    </xf>
    <xf numFmtId="0" fontId="3" fillId="0" borderId="3" xfId="70" applyFont="1" applyFill="1" applyBorder="1" applyAlignment="1">
      <alignment vertical="top" wrapText="1"/>
    </xf>
    <xf numFmtId="0" fontId="3" fillId="0" borderId="4" xfId="70" applyFont="1" applyFill="1" applyBorder="1" applyAlignment="1">
      <alignment vertical="top" wrapText="1"/>
    </xf>
    <xf numFmtId="0" fontId="3" fillId="0" borderId="5" xfId="70" applyFont="1" applyFill="1" applyBorder="1" applyAlignment="1">
      <alignment vertical="top" wrapText="1"/>
    </xf>
    <xf numFmtId="0" fontId="3" fillId="0" borderId="1" xfId="73" applyFont="1" applyFill="1" applyBorder="1" applyAlignment="1">
      <alignment vertical="top" wrapText="1"/>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19" fillId="0" borderId="1" xfId="0" applyFont="1" applyFill="1" applyBorder="1" applyAlignment="1">
      <alignment vertical="top" wrapText="1"/>
    </xf>
    <xf numFmtId="0" fontId="3" fillId="0" borderId="1" xfId="70" applyFont="1" applyFill="1" applyBorder="1" applyAlignment="1">
      <alignment horizontal="left" vertical="top" wrapText="1"/>
    </xf>
    <xf numFmtId="0" fontId="3" fillId="0" borderId="1" xfId="70" applyFont="1" applyFill="1" applyBorder="1" applyAlignment="1">
      <alignment horizontal="center" vertical="top" wrapText="1"/>
    </xf>
    <xf numFmtId="0" fontId="2" fillId="0" borderId="1" xfId="70" applyFont="1" applyFill="1" applyBorder="1" applyAlignment="1">
      <alignment horizontal="left" vertical="top" wrapText="1"/>
    </xf>
    <xf numFmtId="0" fontId="2" fillId="0" borderId="4" xfId="73" applyFont="1" applyFill="1" applyBorder="1" applyAlignment="1">
      <alignment vertical="top" wrapText="1"/>
    </xf>
    <xf numFmtId="0" fontId="3" fillId="0" borderId="4" xfId="73" applyFont="1" applyFill="1" applyBorder="1" applyAlignment="1">
      <alignment vertical="top" wrapText="1"/>
    </xf>
    <xf numFmtId="0" fontId="3" fillId="0" borderId="2" xfId="73" applyFont="1" applyFill="1" applyBorder="1" applyAlignment="1">
      <alignment vertical="top" wrapText="1"/>
    </xf>
    <xf numFmtId="0" fontId="3" fillId="0" borderId="3" xfId="70" applyFont="1" applyFill="1" applyBorder="1" applyAlignment="1">
      <alignment horizontal="left" vertical="top" wrapText="1"/>
    </xf>
    <xf numFmtId="0" fontId="2" fillId="0" borderId="1" xfId="65" applyFont="1" applyFill="1" applyBorder="1" applyAlignment="1">
      <alignment vertical="top" wrapText="1"/>
    </xf>
    <xf numFmtId="0" fontId="3" fillId="0" borderId="1" xfId="65" applyFont="1" applyFill="1" applyBorder="1" applyAlignment="1">
      <alignment horizontal="left" vertical="top" wrapText="1"/>
    </xf>
    <xf numFmtId="0" fontId="3" fillId="0" borderId="1" xfId="65" applyFont="1" applyFill="1" applyBorder="1" applyAlignment="1">
      <alignment vertical="top" wrapText="1"/>
    </xf>
    <xf numFmtId="0" fontId="3" fillId="0" borderId="1" xfId="65" applyFont="1" applyFill="1" applyBorder="1" applyAlignment="1">
      <alignment horizontal="center" vertical="top" wrapText="1"/>
    </xf>
    <xf numFmtId="0" fontId="2" fillId="0" borderId="1" xfId="65" applyFont="1" applyFill="1" applyBorder="1" applyAlignment="1">
      <alignment horizontal="left" vertical="top" wrapText="1"/>
    </xf>
    <xf numFmtId="0" fontId="2" fillId="0" borderId="1" xfId="65" applyFont="1" applyFill="1" applyBorder="1" applyAlignment="1">
      <alignment horizontal="center" vertical="top" wrapText="1"/>
    </xf>
    <xf numFmtId="166" fontId="2" fillId="0" borderId="1" xfId="65" applyNumberFormat="1" applyFont="1" applyFill="1" applyBorder="1" applyAlignment="1">
      <alignment horizontal="right" vertical="top" wrapText="1"/>
    </xf>
    <xf numFmtId="166" fontId="2" fillId="0" borderId="1" xfId="33" applyFont="1" applyFill="1" applyBorder="1" applyAlignment="1">
      <alignment horizontal="right" vertical="top" wrapText="1"/>
    </xf>
    <xf numFmtId="0" fontId="3" fillId="0" borderId="1" xfId="0" applyFont="1" applyFill="1" applyBorder="1" applyAlignment="1">
      <alignment horizontal="left" vertical="top" wrapText="1"/>
    </xf>
    <xf numFmtId="0" fontId="3" fillId="0" borderId="1" xfId="0" quotePrefix="1"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right" vertical="top" wrapText="1"/>
    </xf>
    <xf numFmtId="166" fontId="3" fillId="0" borderId="1" xfId="29" applyFont="1" applyFill="1" applyBorder="1" applyAlignment="1">
      <alignment horizontal="left" vertical="top" wrapText="1"/>
    </xf>
    <xf numFmtId="166" fontId="3" fillId="0" borderId="1" xfId="29" applyFont="1" applyFill="1" applyBorder="1" applyAlignment="1">
      <alignment horizontal="right" vertical="top" wrapText="1"/>
    </xf>
    <xf numFmtId="166" fontId="3" fillId="0" borderId="3" xfId="29" applyFont="1" applyFill="1" applyBorder="1" applyAlignment="1">
      <alignment vertical="center" wrapText="1"/>
    </xf>
    <xf numFmtId="166" fontId="3" fillId="0" borderId="5" xfId="29" applyFont="1" applyFill="1" applyBorder="1" applyAlignment="1">
      <alignment vertical="center" wrapText="1"/>
    </xf>
    <xf numFmtId="0" fontId="2" fillId="0" borderId="1" xfId="0" applyFont="1" applyFill="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166" fontId="2" fillId="0" borderId="1" xfId="29" applyFont="1" applyFill="1" applyBorder="1" applyAlignment="1">
      <alignment horizontal="left" vertical="top" wrapText="1"/>
    </xf>
    <xf numFmtId="166" fontId="2" fillId="0" borderId="1" xfId="29" applyFont="1" applyFill="1" applyBorder="1" applyAlignment="1">
      <alignment horizontal="right" vertical="top" wrapText="1"/>
    </xf>
    <xf numFmtId="0" fontId="3" fillId="0" borderId="1" xfId="0" applyFont="1" applyFill="1" applyBorder="1" applyAlignment="1">
      <alignment horizontal="right" vertical="top"/>
    </xf>
    <xf numFmtId="166" fontId="3" fillId="0" borderId="4" xfId="29" applyFont="1" applyFill="1" applyBorder="1" applyAlignment="1">
      <alignment vertical="center" wrapText="1"/>
    </xf>
    <xf numFmtId="0" fontId="2" fillId="0" borderId="4" xfId="0" applyFont="1" applyFill="1" applyBorder="1" applyAlignment="1">
      <alignment vertical="top" wrapText="1"/>
    </xf>
    <xf numFmtId="166" fontId="3" fillId="0" borderId="6" xfId="65" applyNumberFormat="1" applyFont="1" applyFill="1" applyBorder="1" applyAlignment="1">
      <alignment horizontal="center" vertical="top" wrapText="1"/>
    </xf>
    <xf numFmtId="0" fontId="2" fillId="0" borderId="4" xfId="65" applyFont="1" applyFill="1" applyBorder="1" applyAlignment="1">
      <alignment vertical="top" wrapText="1"/>
    </xf>
    <xf numFmtId="166" fontId="3" fillId="0" borderId="3" xfId="33" applyFont="1" applyFill="1" applyBorder="1" applyAlignment="1">
      <alignment vertical="center" wrapText="1"/>
    </xf>
    <xf numFmtId="166" fontId="3" fillId="0" borderId="1" xfId="65" applyNumberFormat="1" applyFont="1" applyFill="1" applyBorder="1" applyAlignment="1">
      <alignment horizontal="right" vertical="top" wrapText="1"/>
    </xf>
    <xf numFmtId="166" fontId="3" fillId="0" borderId="4" xfId="33" applyFont="1" applyFill="1" applyBorder="1" applyAlignment="1">
      <alignment vertical="center" wrapText="1"/>
    </xf>
    <xf numFmtId="166" fontId="3" fillId="0" borderId="5" xfId="33" applyFont="1" applyFill="1" applyBorder="1" applyAlignment="1">
      <alignment vertical="center" wrapText="1"/>
    </xf>
    <xf numFmtId="166" fontId="3" fillId="0" borderId="1" xfId="35" applyFont="1" applyFill="1" applyBorder="1" applyAlignment="1">
      <alignment horizontal="center" vertical="top" wrapText="1"/>
    </xf>
    <xf numFmtId="166" fontId="3" fillId="0" borderId="1" xfId="33" applyFont="1" applyFill="1" applyBorder="1" applyAlignment="1">
      <alignment horizontal="right" vertical="top" wrapText="1"/>
    </xf>
    <xf numFmtId="166" fontId="3" fillId="0" borderId="7" xfId="65" applyNumberFormat="1" applyFont="1" applyFill="1" applyBorder="1" applyAlignment="1">
      <alignment horizontal="right" vertical="top" wrapText="1"/>
    </xf>
    <xf numFmtId="166" fontId="3" fillId="0" borderId="1" xfId="35" applyFont="1" applyFill="1" applyBorder="1" applyAlignment="1">
      <alignment horizontal="right" vertical="top" wrapText="1"/>
    </xf>
    <xf numFmtId="0" fontId="2" fillId="0" borderId="5" xfId="65" applyFont="1" applyFill="1" applyBorder="1" applyAlignment="1">
      <alignment vertical="top" wrapText="1"/>
    </xf>
    <xf numFmtId="0" fontId="3" fillId="0" borderId="1" xfId="65" applyNumberFormat="1" applyFont="1" applyFill="1" applyBorder="1" applyAlignment="1">
      <alignment horizontal="left" vertical="top" wrapText="1"/>
    </xf>
    <xf numFmtId="0" fontId="3" fillId="0" borderId="1" xfId="65" applyNumberFormat="1" applyFont="1" applyFill="1" applyBorder="1" applyAlignment="1">
      <alignment horizontal="center" vertical="top" wrapText="1"/>
    </xf>
    <xf numFmtId="0" fontId="3" fillId="0" borderId="3" xfId="65" applyFont="1" applyFill="1" applyBorder="1" applyAlignment="1">
      <alignment vertical="top" wrapText="1"/>
    </xf>
    <xf numFmtId="0" fontId="3" fillId="0" borderId="5" xfId="65" applyFont="1" applyFill="1" applyBorder="1" applyAlignment="1">
      <alignment vertical="top" wrapText="1"/>
    </xf>
    <xf numFmtId="0" fontId="3" fillId="0" borderId="1" xfId="65" applyNumberFormat="1" applyFont="1" applyFill="1" applyBorder="1" applyAlignment="1">
      <alignment horizontal="right" vertical="top" wrapText="1"/>
    </xf>
    <xf numFmtId="0" fontId="2" fillId="0" borderId="3" xfId="65" applyFont="1" applyFill="1" applyBorder="1" applyAlignment="1">
      <alignment vertical="top" wrapText="1"/>
    </xf>
    <xf numFmtId="166" fontId="3" fillId="0" borderId="8" xfId="65" applyNumberFormat="1" applyFont="1" applyFill="1" applyBorder="1" applyAlignment="1">
      <alignment horizontal="right" vertical="top" wrapText="1"/>
    </xf>
    <xf numFmtId="1" fontId="2" fillId="0" borderId="1" xfId="80" applyNumberFormat="1" applyFont="1" applyFill="1" applyBorder="1" applyAlignment="1">
      <alignment horizontal="center" vertical="top" wrapText="1"/>
    </xf>
    <xf numFmtId="166" fontId="2" fillId="0" borderId="1" xfId="35" applyFont="1" applyFill="1" applyBorder="1" applyAlignment="1">
      <alignment horizontal="right" vertical="top" wrapText="1"/>
    </xf>
    <xf numFmtId="166" fontId="2" fillId="0" borderId="7" xfId="65" applyNumberFormat="1" applyFont="1" applyFill="1" applyBorder="1" applyAlignment="1">
      <alignment horizontal="right" vertical="top" wrapText="1"/>
    </xf>
    <xf numFmtId="1" fontId="3" fillId="0" borderId="1" xfId="80" applyNumberFormat="1" applyFont="1" applyFill="1" applyBorder="1" applyAlignment="1">
      <alignment horizontal="center" vertical="top" wrapText="1"/>
    </xf>
    <xf numFmtId="166" fontId="2" fillId="0" borderId="1" xfId="35" applyFont="1" applyFill="1" applyBorder="1" applyAlignment="1">
      <alignment horizontal="center" vertical="top" wrapText="1"/>
    </xf>
    <xf numFmtId="166" fontId="2" fillId="0" borderId="1" xfId="33" applyFont="1" applyFill="1" applyBorder="1" applyAlignment="1">
      <alignment horizontal="center" vertical="top" wrapText="1"/>
    </xf>
    <xf numFmtId="1" fontId="3" fillId="0" borderId="1" xfId="80" applyNumberFormat="1" applyFont="1" applyFill="1" applyBorder="1" applyAlignment="1">
      <alignment horizontal="right" vertical="top" wrapText="1"/>
    </xf>
    <xf numFmtId="0" fontId="3" fillId="0" borderId="2" xfId="65" applyFont="1" applyFill="1" applyBorder="1" applyAlignment="1">
      <alignment horizontal="left" vertical="top" wrapText="1"/>
    </xf>
    <xf numFmtId="0" fontId="3" fillId="0" borderId="2" xfId="65" applyNumberFormat="1" applyFont="1" applyFill="1" applyBorder="1" applyAlignment="1">
      <alignment vertical="top" wrapText="1"/>
    </xf>
    <xf numFmtId="0" fontId="3" fillId="0" borderId="2" xfId="65" applyNumberFormat="1" applyFont="1" applyFill="1" applyBorder="1" applyAlignment="1">
      <alignment horizontal="center" vertical="top" wrapText="1"/>
    </xf>
    <xf numFmtId="166" fontId="2" fillId="0" borderId="2" xfId="33" applyFont="1" applyFill="1" applyBorder="1" applyAlignment="1">
      <alignment horizontal="right" vertical="top" wrapText="1"/>
    </xf>
    <xf numFmtId="0" fontId="3" fillId="0" borderId="2" xfId="65" applyNumberFormat="1" applyFont="1" applyFill="1" applyBorder="1" applyAlignment="1">
      <alignment horizontal="right" vertical="top" wrapText="1"/>
    </xf>
    <xf numFmtId="0" fontId="3" fillId="0" borderId="3" xfId="69" applyFont="1" applyFill="1" applyBorder="1" applyAlignment="1">
      <alignment horizontal="left" vertical="top" wrapText="1"/>
    </xf>
    <xf numFmtId="0" fontId="3" fillId="0" borderId="9" xfId="69" applyFont="1" applyFill="1" applyBorder="1" applyAlignment="1">
      <alignment horizontal="left" vertical="top" wrapText="1"/>
    </xf>
    <xf numFmtId="0" fontId="3" fillId="0" borderId="4" xfId="69" applyFont="1" applyFill="1" applyBorder="1" applyAlignment="1">
      <alignment horizontal="left" vertical="top" wrapText="1"/>
    </xf>
    <xf numFmtId="0" fontId="2" fillId="0" borderId="4" xfId="69" applyFont="1" applyFill="1" applyBorder="1" applyAlignment="1">
      <alignment vertical="top" wrapText="1"/>
    </xf>
    <xf numFmtId="0" fontId="3" fillId="0" borderId="1" xfId="69" applyFont="1" applyFill="1" applyBorder="1" applyAlignment="1">
      <alignment vertical="top" wrapText="1"/>
    </xf>
    <xf numFmtId="0" fontId="3" fillId="0" borderId="1" xfId="69" applyFont="1" applyFill="1" applyBorder="1" applyAlignment="1">
      <alignment horizontal="center" vertical="top" wrapText="1"/>
    </xf>
    <xf numFmtId="0" fontId="3" fillId="0" borderId="7" xfId="69" applyFont="1" applyFill="1" applyBorder="1" applyAlignment="1">
      <alignment horizontal="right" vertical="top" wrapText="1"/>
    </xf>
    <xf numFmtId="170" fontId="3" fillId="0" borderId="3" xfId="45" applyNumberFormat="1" applyFont="1" applyFill="1" applyBorder="1" applyAlignment="1">
      <alignment vertical="top" wrapText="1"/>
    </xf>
    <xf numFmtId="0" fontId="3" fillId="0" borderId="10" xfId="69" applyFont="1" applyFill="1" applyBorder="1" applyAlignment="1">
      <alignment vertical="top" wrapText="1"/>
    </xf>
    <xf numFmtId="170" fontId="3" fillId="0" borderId="3" xfId="45" applyNumberFormat="1" applyFont="1" applyFill="1" applyBorder="1" applyAlignment="1">
      <alignment horizontal="left" vertical="top" wrapText="1"/>
    </xf>
    <xf numFmtId="166" fontId="3" fillId="0" borderId="1" xfId="38" applyFont="1" applyFill="1" applyBorder="1" applyAlignment="1">
      <alignment horizontal="left" vertical="top" wrapText="1"/>
    </xf>
    <xf numFmtId="166" fontId="3" fillId="0" borderId="6" xfId="38" applyFont="1" applyFill="1" applyBorder="1" applyAlignment="1">
      <alignment horizontal="left" vertical="top" wrapText="1"/>
    </xf>
    <xf numFmtId="170" fontId="3" fillId="0" borderId="4" xfId="45" applyNumberFormat="1" applyFont="1" applyFill="1" applyBorder="1" applyAlignment="1">
      <alignment vertical="top" wrapText="1"/>
    </xf>
    <xf numFmtId="166" fontId="3" fillId="0" borderId="11" xfId="38" applyFont="1" applyFill="1" applyBorder="1" applyAlignment="1">
      <alignment horizontal="left" vertical="top" wrapText="1"/>
    </xf>
    <xf numFmtId="0" fontId="3" fillId="0" borderId="7" xfId="69" quotePrefix="1" applyFont="1" applyFill="1" applyBorder="1" applyAlignment="1">
      <alignment horizontal="right" vertical="top" wrapText="1"/>
    </xf>
    <xf numFmtId="170" fontId="3" fillId="0" borderId="5" xfId="45" applyNumberFormat="1" applyFont="1" applyFill="1" applyBorder="1" applyAlignment="1">
      <alignment vertical="top" wrapText="1"/>
    </xf>
    <xf numFmtId="166" fontId="3" fillId="0" borderId="12" xfId="38" applyFont="1" applyFill="1" applyBorder="1" applyAlignment="1">
      <alignment horizontal="left" vertical="top" wrapText="1"/>
    </xf>
    <xf numFmtId="0" fontId="3" fillId="0" borderId="1" xfId="69" applyFont="1" applyFill="1" applyBorder="1" applyAlignment="1">
      <alignment horizontal="right" vertical="top" wrapText="1"/>
    </xf>
    <xf numFmtId="170" fontId="3" fillId="0" borderId="1" xfId="45" applyNumberFormat="1" applyFont="1" applyFill="1" applyBorder="1" applyAlignment="1">
      <alignment vertical="top" wrapText="1"/>
    </xf>
    <xf numFmtId="170" fontId="3" fillId="0" borderId="1" xfId="45" applyNumberFormat="1" applyFont="1" applyFill="1" applyBorder="1" applyAlignment="1">
      <alignment horizontal="right" vertical="top" wrapText="1"/>
    </xf>
    <xf numFmtId="170" fontId="3" fillId="0" borderId="1" xfId="45" applyNumberFormat="1" applyFont="1" applyFill="1" applyBorder="1" applyAlignment="1">
      <alignment horizontal="left" vertical="top" wrapText="1"/>
    </xf>
    <xf numFmtId="0" fontId="3" fillId="0" borderId="5" xfId="69" applyFont="1" applyFill="1" applyBorder="1" applyAlignment="1">
      <alignment horizontal="left" vertical="top" wrapText="1"/>
    </xf>
    <xf numFmtId="0" fontId="3" fillId="0" borderId="1" xfId="69" applyFont="1" applyFill="1" applyBorder="1" applyAlignment="1">
      <alignment horizontal="left" vertical="top" wrapText="1"/>
    </xf>
    <xf numFmtId="0" fontId="3" fillId="0" borderId="1" xfId="69" quotePrefix="1" applyFont="1" applyFill="1" applyBorder="1" applyAlignment="1">
      <alignment horizontal="right" vertical="top" wrapText="1"/>
    </xf>
    <xf numFmtId="166" fontId="3" fillId="0" borderId="1" xfId="38" quotePrefix="1" applyFont="1" applyFill="1" applyBorder="1" applyAlignment="1">
      <alignment horizontal="right" vertical="top" wrapText="1"/>
    </xf>
    <xf numFmtId="170" fontId="3" fillId="0" borderId="1" xfId="38" quotePrefix="1" applyNumberFormat="1" applyFont="1" applyFill="1" applyBorder="1" applyAlignment="1">
      <alignment horizontal="right" vertical="top" wrapText="1"/>
    </xf>
    <xf numFmtId="0" fontId="3" fillId="0" borderId="1" xfId="69" quotePrefix="1" applyFont="1" applyFill="1" applyBorder="1" applyAlignment="1">
      <alignment vertical="top" wrapText="1"/>
    </xf>
    <xf numFmtId="0" fontId="3" fillId="0" borderId="3" xfId="69" applyFont="1" applyFill="1" applyBorder="1" applyAlignment="1">
      <alignment vertical="top" wrapText="1"/>
    </xf>
    <xf numFmtId="0" fontId="3" fillId="0" borderId="3" xfId="69" applyFont="1" applyFill="1" applyBorder="1" applyAlignment="1">
      <alignment horizontal="center" vertical="top" wrapText="1"/>
    </xf>
    <xf numFmtId="0" fontId="3" fillId="0" borderId="3" xfId="69" applyFont="1" applyFill="1" applyBorder="1" applyAlignment="1">
      <alignment horizontal="right" vertical="top" wrapText="1"/>
    </xf>
    <xf numFmtId="170" fontId="3" fillId="0" borderId="3" xfId="45" applyNumberFormat="1" applyFont="1" applyFill="1" applyBorder="1" applyAlignment="1">
      <alignment horizontal="right" vertical="top" wrapText="1"/>
    </xf>
    <xf numFmtId="166" fontId="3" fillId="0" borderId="3" xfId="38" applyFont="1" applyFill="1" applyBorder="1" applyAlignment="1">
      <alignment horizontal="left" vertical="top" wrapText="1"/>
    </xf>
    <xf numFmtId="166" fontId="3" fillId="0" borderId="13" xfId="38" applyFont="1" applyFill="1" applyBorder="1" applyAlignment="1">
      <alignment horizontal="left" vertical="top" wrapText="1"/>
    </xf>
    <xf numFmtId="0" fontId="3" fillId="0" borderId="4" xfId="69" applyFont="1" applyFill="1" applyBorder="1" applyAlignment="1">
      <alignment vertical="top" wrapText="1"/>
    </xf>
    <xf numFmtId="0" fontId="3" fillId="0" borderId="4" xfId="69" applyFont="1" applyFill="1" applyBorder="1" applyAlignment="1">
      <alignment horizontal="center" vertical="top" wrapText="1"/>
    </xf>
    <xf numFmtId="0" fontId="3" fillId="0" borderId="4" xfId="69" applyFont="1" applyFill="1" applyBorder="1" applyAlignment="1">
      <alignment horizontal="right" vertical="top" wrapText="1"/>
    </xf>
    <xf numFmtId="170" fontId="3" fillId="0" borderId="4" xfId="45" applyNumberFormat="1" applyFont="1" applyFill="1" applyBorder="1" applyAlignment="1">
      <alignment horizontal="right" vertical="top" wrapText="1"/>
    </xf>
    <xf numFmtId="166" fontId="3" fillId="0" borderId="4" xfId="38" applyFont="1" applyFill="1" applyBorder="1" applyAlignment="1">
      <alignment horizontal="left" vertical="top" wrapText="1"/>
    </xf>
    <xf numFmtId="0" fontId="3" fillId="0" borderId="5" xfId="69" applyFont="1" applyFill="1" applyBorder="1" applyAlignment="1">
      <alignment horizontal="center" vertical="top" wrapText="1"/>
    </xf>
    <xf numFmtId="0" fontId="3" fillId="0" borderId="5" xfId="69" applyFont="1" applyFill="1" applyBorder="1" applyAlignment="1">
      <alignment horizontal="right" vertical="top" wrapText="1"/>
    </xf>
    <xf numFmtId="170" fontId="3" fillId="0" borderId="5" xfId="45" applyNumberFormat="1" applyFont="1" applyFill="1" applyBorder="1" applyAlignment="1">
      <alignment horizontal="right" vertical="top" wrapText="1"/>
    </xf>
    <xf numFmtId="166" fontId="3" fillId="0" borderId="5" xfId="38" applyFont="1" applyFill="1" applyBorder="1" applyAlignment="1">
      <alignment horizontal="left" vertical="top" wrapText="1"/>
    </xf>
    <xf numFmtId="0" fontId="3" fillId="0" borderId="1" xfId="69" quotePrefix="1" applyFont="1" applyFill="1" applyBorder="1" applyAlignment="1">
      <alignment horizontal="left" vertical="top" wrapText="1"/>
    </xf>
    <xf numFmtId="166" fontId="3" fillId="0" borderId="6" xfId="38" applyFont="1" applyFill="1" applyBorder="1" applyAlignment="1">
      <alignment horizontal="right" vertical="top" wrapText="1"/>
    </xf>
    <xf numFmtId="0" fontId="2" fillId="0" borderId="5" xfId="69" applyFont="1" applyFill="1" applyBorder="1" applyAlignment="1">
      <alignment vertical="top" wrapText="1"/>
    </xf>
    <xf numFmtId="166" fontId="3" fillId="0" borderId="1" xfId="38" applyFont="1" applyFill="1" applyBorder="1" applyAlignment="1">
      <alignment horizontal="right" vertical="top" wrapText="1"/>
    </xf>
    <xf numFmtId="170" fontId="3" fillId="0" borderId="1" xfId="38" applyNumberFormat="1" applyFont="1" applyFill="1" applyBorder="1" applyAlignment="1">
      <alignment horizontal="right" vertical="top" wrapText="1"/>
    </xf>
    <xf numFmtId="0" fontId="2" fillId="0" borderId="3" xfId="69" applyFont="1" applyFill="1" applyBorder="1" applyAlignment="1">
      <alignment vertical="top" wrapText="1"/>
    </xf>
    <xf numFmtId="0" fontId="2" fillId="0" borderId="1" xfId="69" applyFont="1" applyFill="1" applyBorder="1" applyAlignment="1">
      <alignment horizontal="left" vertical="top" wrapText="1"/>
    </xf>
    <xf numFmtId="0" fontId="2" fillId="0" borderId="1" xfId="69" applyFont="1" applyFill="1" applyBorder="1" applyAlignment="1">
      <alignment vertical="top" wrapText="1"/>
    </xf>
    <xf numFmtId="0" fontId="2" fillId="0" borderId="1" xfId="69" applyFont="1" applyFill="1" applyBorder="1" applyAlignment="1">
      <alignment horizontal="center" vertical="top"/>
    </xf>
    <xf numFmtId="172" fontId="2" fillId="0" borderId="1" xfId="38" applyNumberFormat="1" applyFont="1" applyFill="1" applyBorder="1" applyAlignment="1">
      <alignment vertical="top"/>
    </xf>
    <xf numFmtId="170" fontId="2" fillId="0" borderId="1" xfId="45" applyNumberFormat="1" applyFont="1" applyFill="1" applyBorder="1" applyAlignment="1">
      <alignment vertical="top" wrapText="1"/>
    </xf>
    <xf numFmtId="166" fontId="2" fillId="0" borderId="1" xfId="38" applyFont="1" applyFill="1" applyBorder="1" applyAlignment="1">
      <alignment horizontal="left" vertical="top" wrapText="1"/>
    </xf>
    <xf numFmtId="0" fontId="3" fillId="0" borderId="7" xfId="69" applyFont="1" applyFill="1" applyBorder="1" applyAlignment="1">
      <alignment vertical="top" wrapText="1"/>
    </xf>
    <xf numFmtId="0" fontId="3" fillId="0" borderId="5" xfId="69" applyFont="1" applyFill="1" applyBorder="1" applyAlignment="1">
      <alignment vertical="top" wrapText="1"/>
    </xf>
    <xf numFmtId="0" fontId="3" fillId="0" borderId="14" xfId="69" applyFont="1" applyFill="1" applyBorder="1" applyAlignment="1">
      <alignment vertical="top" wrapText="1"/>
    </xf>
    <xf numFmtId="0" fontId="3" fillId="0" borderId="15" xfId="69" applyFont="1" applyFill="1" applyBorder="1" applyAlignment="1">
      <alignment vertical="top" wrapText="1"/>
    </xf>
    <xf numFmtId="166" fontId="3" fillId="0" borderId="10" xfId="38" applyFont="1" applyFill="1" applyBorder="1" applyAlignment="1">
      <alignment horizontal="left" vertical="top" wrapText="1"/>
    </xf>
    <xf numFmtId="0" fontId="2" fillId="0" borderId="1" xfId="69" applyFont="1" applyFill="1" applyBorder="1" applyAlignment="1">
      <alignment horizontal="center" vertical="top" wrapText="1"/>
    </xf>
    <xf numFmtId="0" fontId="2" fillId="0" borderId="1" xfId="69" applyFont="1" applyFill="1" applyBorder="1" applyAlignment="1">
      <alignment horizontal="right" vertical="top" wrapText="1"/>
    </xf>
    <xf numFmtId="170" fontId="2" fillId="0" borderId="3" xfId="45" applyNumberFormat="1" applyFont="1" applyFill="1" applyBorder="1" applyAlignment="1">
      <alignment vertical="top" wrapText="1"/>
    </xf>
    <xf numFmtId="170" fontId="2" fillId="0" borderId="13" xfId="45" applyNumberFormat="1" applyFont="1" applyFill="1" applyBorder="1" applyAlignment="1">
      <alignment vertical="top" wrapText="1"/>
    </xf>
    <xf numFmtId="0" fontId="3" fillId="0" borderId="16" xfId="69" applyFont="1" applyFill="1" applyBorder="1" applyAlignment="1">
      <alignment horizontal="right" vertical="top" wrapText="1"/>
    </xf>
    <xf numFmtId="0" fontId="3" fillId="0" borderId="17" xfId="69" applyFont="1" applyFill="1" applyBorder="1" applyAlignment="1">
      <alignment vertical="top" wrapText="1"/>
    </xf>
    <xf numFmtId="0" fontId="3" fillId="0" borderId="18" xfId="69" applyFont="1" applyFill="1" applyBorder="1" applyAlignment="1">
      <alignment vertical="top" wrapText="1"/>
    </xf>
    <xf numFmtId="166" fontId="2" fillId="0" borderId="1" xfId="38" applyFont="1" applyFill="1" applyBorder="1" applyAlignment="1">
      <alignment horizontal="right" vertical="top" wrapText="1"/>
    </xf>
    <xf numFmtId="166" fontId="2" fillId="0" borderId="6" xfId="38" applyFont="1" applyFill="1" applyBorder="1" applyAlignment="1">
      <alignment horizontal="left" vertical="top" wrapText="1"/>
    </xf>
    <xf numFmtId="170" fontId="3" fillId="0" borderId="4" xfId="69" applyNumberFormat="1" applyFont="1" applyFill="1" applyBorder="1" applyAlignment="1">
      <alignment horizontal="right" vertical="top" wrapText="1"/>
    </xf>
    <xf numFmtId="170" fontId="2" fillId="0" borderId="4" xfId="45" applyNumberFormat="1" applyFont="1" applyFill="1" applyBorder="1" applyAlignment="1">
      <alignment vertical="top" wrapText="1"/>
    </xf>
    <xf numFmtId="166" fontId="3" fillId="0" borderId="11" xfId="38" applyFont="1" applyFill="1" applyBorder="1" applyAlignment="1">
      <alignment vertical="top" wrapText="1"/>
    </xf>
    <xf numFmtId="166" fontId="3" fillId="0" borderId="7" xfId="38" applyFont="1" applyFill="1" applyBorder="1" applyAlignment="1">
      <alignment horizontal="right" vertical="top" wrapText="1"/>
    </xf>
    <xf numFmtId="166" fontId="3" fillId="0" borderId="10" xfId="38" applyFont="1" applyFill="1" applyBorder="1" applyAlignment="1">
      <alignment horizontal="right" vertical="top" wrapText="1"/>
    </xf>
    <xf numFmtId="166" fontId="3" fillId="0" borderId="18" xfId="38" applyFont="1" applyFill="1" applyBorder="1" applyAlignment="1">
      <alignment horizontal="right" vertical="top" wrapText="1"/>
    </xf>
    <xf numFmtId="0" fontId="3" fillId="0" borderId="10" xfId="69" applyFont="1" applyFill="1" applyBorder="1" applyAlignment="1">
      <alignment horizontal="right" vertical="top" wrapText="1"/>
    </xf>
    <xf numFmtId="0" fontId="3" fillId="0" borderId="10" xfId="69" applyFont="1" applyFill="1" applyBorder="1" applyAlignment="1">
      <alignment horizontal="left" vertical="top" wrapText="1"/>
    </xf>
    <xf numFmtId="170" fontId="3" fillId="0" borderId="4" xfId="45" applyNumberFormat="1" applyFont="1" applyFill="1" applyBorder="1" applyAlignment="1">
      <alignment horizontal="left" vertical="top" wrapText="1"/>
    </xf>
    <xf numFmtId="170" fontId="3" fillId="0" borderId="10" xfId="45" applyNumberFormat="1" applyFont="1" applyFill="1" applyBorder="1" applyAlignment="1">
      <alignment horizontal="right" vertical="top" wrapText="1"/>
    </xf>
    <xf numFmtId="170" fontId="3" fillId="0" borderId="5" xfId="45" applyNumberFormat="1" applyFont="1" applyFill="1" applyBorder="1" applyAlignment="1">
      <alignment horizontal="left" vertical="top" wrapText="1"/>
    </xf>
    <xf numFmtId="170" fontId="3" fillId="0" borderId="1" xfId="69" quotePrefix="1" applyNumberFormat="1" applyFont="1" applyFill="1" applyBorder="1" applyAlignment="1">
      <alignment horizontal="right" vertical="top" wrapText="1"/>
    </xf>
    <xf numFmtId="170" fontId="2" fillId="0" borderId="19" xfId="45" applyNumberFormat="1" applyFont="1" applyFill="1" applyBorder="1" applyAlignment="1">
      <alignment vertical="center" wrapText="1"/>
    </xf>
    <xf numFmtId="0" fontId="2" fillId="0" borderId="19" xfId="69" applyFont="1" applyFill="1" applyBorder="1" applyAlignment="1">
      <alignment vertical="center" wrapText="1"/>
    </xf>
    <xf numFmtId="0" fontId="2" fillId="0" borderId="2" xfId="69" applyFont="1" applyFill="1" applyBorder="1" applyAlignment="1">
      <alignment vertical="center" wrapText="1"/>
    </xf>
    <xf numFmtId="170" fontId="2" fillId="0" borderId="20" xfId="45" applyNumberFormat="1" applyFont="1" applyFill="1" applyBorder="1" applyAlignment="1">
      <alignment vertical="center" wrapText="1"/>
    </xf>
    <xf numFmtId="166" fontId="2" fillId="0" borderId="6" xfId="65" applyNumberFormat="1" applyFont="1" applyFill="1" applyBorder="1" applyAlignment="1">
      <alignment horizontal="center" vertical="top" wrapText="1"/>
    </xf>
    <xf numFmtId="166" fontId="3" fillId="34" borderId="1" xfId="29" applyFont="1" applyFill="1" applyBorder="1" applyAlignment="1">
      <alignment horizontal="left" vertical="top" wrapText="1"/>
    </xf>
    <xf numFmtId="166" fontId="3" fillId="34" borderId="1" xfId="29" applyFont="1" applyFill="1" applyBorder="1" applyAlignment="1">
      <alignment horizontal="center" vertical="top" wrapText="1"/>
    </xf>
    <xf numFmtId="172" fontId="3" fillId="34" borderId="1" xfId="29" applyNumberFormat="1" applyFont="1" applyFill="1" applyBorder="1" applyAlignment="1">
      <alignment horizontal="right" vertical="top" wrapText="1"/>
    </xf>
    <xf numFmtId="166" fontId="3" fillId="34" borderId="1" xfId="29" applyFont="1" applyFill="1" applyBorder="1" applyAlignment="1">
      <alignment horizontal="right" vertical="top" wrapText="1"/>
    </xf>
    <xf numFmtId="0" fontId="3" fillId="34" borderId="1" xfId="0" applyFont="1" applyFill="1" applyBorder="1" applyAlignment="1">
      <alignment horizontal="center" vertical="top" wrapText="1"/>
    </xf>
    <xf numFmtId="0" fontId="3" fillId="34" borderId="0" xfId="69" applyFont="1" applyFill="1" applyBorder="1" applyAlignment="1">
      <alignment vertical="top" wrapText="1"/>
    </xf>
    <xf numFmtId="0" fontId="3" fillId="34" borderId="0" xfId="0" applyFont="1" applyFill="1" applyBorder="1" applyAlignment="1">
      <alignment vertical="top" wrapText="1"/>
    </xf>
    <xf numFmtId="166" fontId="3" fillId="34" borderId="1" xfId="29" applyNumberFormat="1" applyFont="1" applyFill="1" applyBorder="1" applyAlignment="1">
      <alignment horizontal="right" vertical="top" wrapText="1"/>
    </xf>
    <xf numFmtId="0" fontId="2" fillId="34" borderId="0" xfId="0" applyFont="1" applyFill="1" applyAlignment="1">
      <alignment horizontal="center" vertical="top"/>
    </xf>
    <xf numFmtId="0" fontId="2" fillId="34" borderId="4" xfId="0" applyFont="1" applyFill="1" applyBorder="1" applyAlignment="1">
      <alignment vertical="top" wrapText="1"/>
    </xf>
    <xf numFmtId="0" fontId="2" fillId="34" borderId="5" xfId="0" applyFont="1" applyFill="1" applyBorder="1" applyAlignment="1">
      <alignment vertical="top" wrapText="1"/>
    </xf>
    <xf numFmtId="0" fontId="2" fillId="34" borderId="3" xfId="0" applyFont="1" applyFill="1" applyBorder="1" applyAlignment="1">
      <alignment vertical="top" wrapText="1"/>
    </xf>
    <xf numFmtId="0" fontId="3" fillId="34" borderId="1" xfId="0" applyFont="1" applyFill="1" applyBorder="1" applyAlignment="1">
      <alignment vertical="top" wrapText="1"/>
    </xf>
    <xf numFmtId="0" fontId="3" fillId="0" borderId="21" xfId="69"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2" fillId="34" borderId="1" xfId="0" applyFont="1" applyFill="1" applyBorder="1" applyAlignment="1">
      <alignment horizontal="left" vertical="top" wrapText="1"/>
    </xf>
    <xf numFmtId="0" fontId="2" fillId="34" borderId="4" xfId="0" applyFont="1" applyFill="1" applyBorder="1" applyAlignment="1">
      <alignment horizontal="left" vertical="top" wrapText="1"/>
    </xf>
    <xf numFmtId="0" fontId="2" fillId="34" borderId="5" xfId="0" applyFont="1" applyFill="1" applyBorder="1" applyAlignment="1">
      <alignment horizontal="left" vertical="top" wrapText="1"/>
    </xf>
    <xf numFmtId="0" fontId="3" fillId="0" borderId="9" xfId="0" applyFont="1" applyFill="1" applyBorder="1" applyAlignment="1">
      <alignment horizontal="left" vertical="top" wrapText="1"/>
    </xf>
    <xf numFmtId="0" fontId="2" fillId="0" borderId="6" xfId="0" applyFont="1" applyFill="1" applyBorder="1" applyAlignment="1">
      <alignment horizontal="center" vertical="top" wrapText="1"/>
    </xf>
    <xf numFmtId="0" fontId="2" fillId="0" borderId="3" xfId="0" applyFont="1" applyFill="1" applyBorder="1" applyAlignment="1">
      <alignment vertical="top" wrapText="1"/>
    </xf>
    <xf numFmtId="0" fontId="3" fillId="0" borderId="1" xfId="0" applyFont="1" applyFill="1" applyBorder="1" applyAlignment="1">
      <alignment vertical="top" wrapText="1"/>
    </xf>
    <xf numFmtId="0" fontId="3" fillId="0" borderId="6" xfId="0" applyFont="1" applyFill="1" applyBorder="1" applyAlignment="1">
      <alignment horizontal="center" vertical="top" wrapText="1"/>
    </xf>
    <xf numFmtId="166" fontId="3" fillId="0" borderId="1" xfId="30" applyFont="1" applyFill="1" applyBorder="1" applyAlignment="1">
      <alignment horizontal="center" vertical="top" wrapText="1"/>
    </xf>
    <xf numFmtId="166" fontId="3" fillId="0" borderId="1" xfId="30" applyFont="1" applyFill="1" applyBorder="1" applyAlignment="1">
      <alignment horizontal="right" vertical="top" wrapText="1"/>
    </xf>
    <xf numFmtId="172" fontId="2" fillId="0" borderId="1" xfId="29" applyNumberFormat="1" applyFont="1" applyFill="1" applyBorder="1" applyAlignment="1">
      <alignment horizontal="right" vertical="top"/>
    </xf>
    <xf numFmtId="0" fontId="2" fillId="0" borderId="1" xfId="0" applyFont="1" applyFill="1" applyBorder="1" applyAlignment="1">
      <alignment horizontal="center" vertical="top"/>
    </xf>
    <xf numFmtId="166" fontId="2" fillId="0" borderId="1" xfId="0" applyNumberFormat="1" applyFont="1" applyFill="1" applyBorder="1" applyAlignment="1">
      <alignment horizontal="right" vertical="top"/>
    </xf>
    <xf numFmtId="0" fontId="2" fillId="0" borderId="1" xfId="65" applyFont="1" applyFill="1" applyBorder="1" applyAlignment="1">
      <alignment horizontal="center" vertical="top"/>
    </xf>
    <xf numFmtId="0" fontId="3" fillId="0" borderId="4" xfId="65" applyFont="1" applyFill="1" applyBorder="1" applyAlignment="1">
      <alignment vertical="top" wrapText="1"/>
    </xf>
    <xf numFmtId="0" fontId="3" fillId="0" borderId="1" xfId="65" applyFont="1" applyFill="1" applyBorder="1" applyAlignment="1">
      <alignment vertical="top"/>
    </xf>
    <xf numFmtId="0" fontId="2" fillId="0" borderId="1" xfId="68" applyFont="1" applyFill="1" applyBorder="1" applyAlignment="1">
      <alignment vertical="top" wrapText="1"/>
    </xf>
    <xf numFmtId="0" fontId="2" fillId="0" borderId="3" xfId="68" applyFont="1" applyFill="1" applyBorder="1" applyAlignment="1">
      <alignment vertical="top" wrapText="1"/>
    </xf>
    <xf numFmtId="0" fontId="2" fillId="0" borderId="0" xfId="0" applyFont="1" applyFill="1" applyAlignment="1"/>
    <xf numFmtId="0" fontId="3" fillId="0" borderId="0" xfId="0" applyFont="1" applyFill="1" applyAlignment="1">
      <alignment horizontal="center"/>
    </xf>
    <xf numFmtId="0" fontId="3" fillId="0" borderId="0" xfId="0" applyFont="1" applyFill="1" applyAlignment="1">
      <alignment wrapText="1"/>
    </xf>
    <xf numFmtId="0" fontId="2" fillId="0" borderId="1" xfId="0" applyFont="1" applyFill="1" applyBorder="1" applyAlignment="1">
      <alignment vertical="top"/>
    </xf>
    <xf numFmtId="166" fontId="2" fillId="0" borderId="1" xfId="0" applyNumberFormat="1" applyFont="1" applyFill="1" applyBorder="1" applyAlignment="1">
      <alignment vertical="top"/>
    </xf>
    <xf numFmtId="166" fontId="2" fillId="0" borderId="1" xfId="36" applyFont="1" applyFill="1" applyBorder="1" applyAlignment="1">
      <alignment horizontal="right" vertical="top" wrapText="1"/>
    </xf>
    <xf numFmtId="166" fontId="3" fillId="0" borderId="1" xfId="36" applyFont="1" applyFill="1" applyBorder="1" applyAlignment="1">
      <alignment horizontal="right" vertical="top" wrapText="1"/>
    </xf>
    <xf numFmtId="166" fontId="2" fillId="0" borderId="2" xfId="36" applyFont="1" applyFill="1" applyBorder="1" applyAlignment="1">
      <alignment horizontal="right" vertical="top" wrapText="1"/>
    </xf>
    <xf numFmtId="0" fontId="3" fillId="0" borderId="4" xfId="70" applyFont="1" applyFill="1" applyBorder="1" applyAlignment="1">
      <alignment horizontal="left" vertical="top" wrapText="1"/>
    </xf>
    <xf numFmtId="0" fontId="2" fillId="0" borderId="4" xfId="69" applyFont="1" applyFill="1" applyBorder="1" applyAlignment="1">
      <alignment horizontal="left" vertical="top" wrapText="1"/>
    </xf>
    <xf numFmtId="0" fontId="2" fillId="0" borderId="3" xfId="70" applyFont="1" applyFill="1" applyBorder="1" applyAlignment="1">
      <alignment horizontal="left" vertical="top" wrapText="1"/>
    </xf>
    <xf numFmtId="0" fontId="3" fillId="0" borderId="0" xfId="80" applyNumberFormat="1" applyFont="1" applyFill="1" applyBorder="1" applyAlignment="1">
      <alignment horizontal="right" vertical="top" wrapText="1"/>
    </xf>
    <xf numFmtId="0" fontId="3" fillId="0" borderId="0" xfId="70" applyFont="1" applyFill="1" applyBorder="1" applyAlignment="1">
      <alignment horizontal="center" vertical="top" wrapText="1"/>
    </xf>
    <xf numFmtId="0" fontId="3" fillId="34" borderId="6" xfId="72" applyFont="1" applyFill="1" applyBorder="1" applyAlignment="1">
      <alignment horizontal="center" vertical="top" wrapText="1"/>
    </xf>
    <xf numFmtId="0" fontId="3" fillId="34" borderId="0" xfId="0" applyFont="1" applyFill="1"/>
    <xf numFmtId="0" fontId="2" fillId="34" borderId="1" xfId="73" applyFont="1" applyFill="1" applyBorder="1" applyAlignment="1">
      <alignment vertical="top" wrapText="1"/>
    </xf>
    <xf numFmtId="0" fontId="2" fillId="34" borderId="3" xfId="73" applyFont="1" applyFill="1" applyBorder="1" applyAlignment="1">
      <alignment vertical="top" wrapText="1"/>
    </xf>
    <xf numFmtId="0" fontId="2" fillId="34" borderId="5" xfId="73" applyFont="1" applyFill="1" applyBorder="1" applyAlignment="1">
      <alignment vertical="top" wrapText="1"/>
    </xf>
    <xf numFmtId="172" fontId="3" fillId="34" borderId="5" xfId="40" applyNumberFormat="1" applyFont="1" applyFill="1" applyBorder="1" applyAlignment="1">
      <alignment vertical="top"/>
    </xf>
    <xf numFmtId="0" fontId="2" fillId="34" borderId="1" xfId="73" applyFont="1" applyFill="1" applyBorder="1" applyAlignment="1">
      <alignment horizontal="center" vertical="top" wrapText="1"/>
    </xf>
    <xf numFmtId="172" fontId="3" fillId="34" borderId="1" xfId="40" applyNumberFormat="1" applyFont="1" applyFill="1" applyBorder="1" applyAlignment="1">
      <alignment vertical="top"/>
    </xf>
    <xf numFmtId="0" fontId="2" fillId="0" borderId="3" xfId="73" applyFont="1" applyFill="1" applyBorder="1" applyAlignment="1">
      <alignment vertical="top" wrapText="1"/>
    </xf>
    <xf numFmtId="0" fontId="2" fillId="34" borderId="1" xfId="0" applyFont="1" applyFill="1" applyBorder="1"/>
    <xf numFmtId="0" fontId="2" fillId="34" borderId="0" xfId="0" applyFont="1" applyFill="1"/>
    <xf numFmtId="0" fontId="2" fillId="34" borderId="1" xfId="0" applyFont="1" applyFill="1" applyBorder="1" applyAlignment="1">
      <alignment horizontal="center" vertical="top"/>
    </xf>
    <xf numFmtId="0" fontId="2" fillId="34" borderId="1" xfId="0" applyFont="1" applyFill="1" applyBorder="1" applyAlignment="1">
      <alignment vertical="top"/>
    </xf>
    <xf numFmtId="166" fontId="2" fillId="34" borderId="1" xfId="0" applyNumberFormat="1" applyFont="1" applyFill="1" applyBorder="1" applyAlignment="1">
      <alignment vertical="top"/>
    </xf>
    <xf numFmtId="2" fontId="2" fillId="34" borderId="1" xfId="0" applyNumberFormat="1" applyFont="1" applyFill="1" applyBorder="1" applyAlignment="1">
      <alignment horizontal="right" vertical="top"/>
    </xf>
    <xf numFmtId="0" fontId="19" fillId="34" borderId="1" xfId="0" applyFont="1" applyFill="1" applyBorder="1" applyAlignment="1">
      <alignment vertical="top" wrapText="1"/>
    </xf>
    <xf numFmtId="166" fontId="19" fillId="34" borderId="1" xfId="0" applyNumberFormat="1" applyFont="1" applyFill="1" applyBorder="1" applyAlignment="1">
      <alignment vertical="top" wrapText="1"/>
    </xf>
    <xf numFmtId="166" fontId="19" fillId="34" borderId="2" xfId="29" applyNumberFormat="1" applyFont="1" applyFill="1" applyBorder="1" applyAlignment="1">
      <alignment vertical="top"/>
    </xf>
    <xf numFmtId="0" fontId="19" fillId="34" borderId="5" xfId="0" applyFont="1" applyFill="1" applyBorder="1" applyAlignment="1">
      <alignment vertical="top" wrapText="1"/>
    </xf>
    <xf numFmtId="166" fontId="19" fillId="34" borderId="5" xfId="0" applyNumberFormat="1" applyFont="1" applyFill="1" applyBorder="1" applyAlignment="1">
      <alignment vertical="top"/>
    </xf>
    <xf numFmtId="0" fontId="3" fillId="34" borderId="9" xfId="0" applyFont="1" applyFill="1" applyBorder="1" applyAlignment="1">
      <alignment vertical="top" wrapText="1"/>
    </xf>
    <xf numFmtId="0" fontId="3" fillId="34" borderId="2" xfId="0" applyFont="1" applyFill="1" applyBorder="1" applyAlignment="1">
      <alignment horizontal="left" vertical="top" wrapText="1"/>
    </xf>
    <xf numFmtId="0" fontId="3" fillId="34" borderId="9" xfId="0" applyFont="1" applyFill="1" applyBorder="1" applyAlignment="1">
      <alignment vertical="top"/>
    </xf>
    <xf numFmtId="0" fontId="3" fillId="34" borderId="4" xfId="0" applyFont="1" applyFill="1" applyBorder="1" applyAlignment="1">
      <alignment vertical="top"/>
    </xf>
    <xf numFmtId="0" fontId="3" fillId="34" borderId="2" xfId="0" applyFont="1" applyFill="1" applyBorder="1" applyAlignment="1">
      <alignment vertical="top" wrapText="1"/>
    </xf>
    <xf numFmtId="0" fontId="2" fillId="0" borderId="1" xfId="73" applyFont="1" applyFill="1" applyBorder="1" applyAlignment="1">
      <alignment horizontal="center" vertical="top" wrapText="1"/>
    </xf>
    <xf numFmtId="0" fontId="2" fillId="0" borderId="1" xfId="0" applyFont="1" applyFill="1" applyBorder="1" applyAlignment="1">
      <alignment horizontal="right" vertical="top"/>
    </xf>
    <xf numFmtId="0" fontId="2" fillId="0" borderId="10" xfId="0" applyFont="1" applyFill="1" applyBorder="1" applyAlignment="1">
      <alignment vertical="top"/>
    </xf>
    <xf numFmtId="0" fontId="2" fillId="0" borderId="7" xfId="0" applyFont="1" applyFill="1" applyBorder="1" applyAlignment="1">
      <alignment vertical="top"/>
    </xf>
    <xf numFmtId="166" fontId="3" fillId="0" borderId="1" xfId="29" applyFont="1" applyFill="1" applyBorder="1" applyAlignment="1">
      <alignment vertical="top"/>
    </xf>
    <xf numFmtId="0" fontId="3" fillId="0" borderId="7" xfId="0" applyFont="1" applyFill="1" applyBorder="1"/>
    <xf numFmtId="166" fontId="2" fillId="0" borderId="1" xfId="29" applyFont="1" applyFill="1" applyBorder="1" applyAlignment="1">
      <alignment vertical="top"/>
    </xf>
    <xf numFmtId="0" fontId="2" fillId="0" borderId="7" xfId="0" applyFont="1" applyFill="1" applyBorder="1"/>
    <xf numFmtId="166" fontId="3" fillId="0" borderId="1" xfId="29" applyFont="1" applyFill="1" applyBorder="1" applyAlignment="1">
      <alignment horizontal="left" vertical="top"/>
    </xf>
    <xf numFmtId="166" fontId="2" fillId="0" borderId="1" xfId="29" applyFont="1" applyFill="1" applyBorder="1" applyAlignment="1">
      <alignment horizontal="right" vertical="top"/>
    </xf>
    <xf numFmtId="166" fontId="3" fillId="0" borderId="7" xfId="29" applyFont="1" applyFill="1" applyBorder="1" applyAlignment="1">
      <alignment vertical="top"/>
    </xf>
    <xf numFmtId="0" fontId="3" fillId="0" borderId="0" xfId="0" applyFont="1" applyFill="1" applyBorder="1"/>
    <xf numFmtId="0" fontId="2" fillId="0" borderId="0" xfId="0" applyFont="1" applyFill="1"/>
    <xf numFmtId="0" fontId="2" fillId="0" borderId="2" xfId="0" applyFont="1" applyFill="1" applyBorder="1" applyAlignment="1">
      <alignment horizontal="left" vertical="top" wrapText="1"/>
    </xf>
    <xf numFmtId="166" fontId="2" fillId="0" borderId="3" xfId="29" applyFont="1" applyFill="1" applyBorder="1" applyAlignment="1">
      <alignment vertical="top"/>
    </xf>
    <xf numFmtId="172" fontId="2" fillId="0" borderId="1" xfId="29" quotePrefix="1" applyNumberFormat="1" applyFont="1" applyFill="1" applyBorder="1" applyAlignment="1">
      <alignment horizontal="left" vertical="top" wrapText="1"/>
    </xf>
    <xf numFmtId="166" fontId="3" fillId="0" borderId="1" xfId="29" quotePrefix="1" applyFont="1" applyFill="1" applyBorder="1" applyAlignment="1">
      <alignment horizontal="left" vertical="top" wrapText="1"/>
    </xf>
    <xf numFmtId="0" fontId="3" fillId="0" borderId="1" xfId="0" applyFont="1" applyFill="1" applyBorder="1" applyAlignment="1">
      <alignment horizontal="right"/>
    </xf>
    <xf numFmtId="0" fontId="3" fillId="0" borderId="7" xfId="0" applyFont="1" applyFill="1" applyBorder="1" applyAlignment="1">
      <alignment vertical="top"/>
    </xf>
    <xf numFmtId="0" fontId="3" fillId="0" borderId="1" xfId="0" applyNumberFormat="1" applyFont="1" applyFill="1" applyBorder="1" applyAlignment="1">
      <alignment horizontal="right" vertical="top"/>
    </xf>
    <xf numFmtId="166" fontId="3" fillId="0" borderId="1" xfId="29" applyFont="1" applyFill="1" applyBorder="1" applyAlignment="1">
      <alignment vertical="top" wrapText="1"/>
    </xf>
    <xf numFmtId="0" fontId="3" fillId="0" borderId="0" xfId="0" applyFont="1" applyFill="1" applyBorder="1" applyAlignment="1">
      <alignment horizontal="left" vertical="top" wrapText="1"/>
    </xf>
    <xf numFmtId="166" fontId="3" fillId="0" borderId="3" xfId="29" applyFont="1" applyFill="1" applyBorder="1" applyAlignment="1">
      <alignment vertical="center"/>
    </xf>
    <xf numFmtId="166" fontId="3" fillId="0" borderId="4" xfId="29" applyFont="1" applyFill="1" applyBorder="1" applyAlignment="1">
      <alignment vertical="center"/>
    </xf>
    <xf numFmtId="166" fontId="3" fillId="0" borderId="5" xfId="29" applyFont="1" applyFill="1" applyBorder="1" applyAlignment="1">
      <alignment vertical="center"/>
    </xf>
    <xf numFmtId="166" fontId="3" fillId="0" borderId="1" xfId="29" applyFont="1" applyFill="1" applyBorder="1" applyAlignment="1">
      <alignment horizontal="right" vertical="top"/>
    </xf>
    <xf numFmtId="0" fontId="3" fillId="0" borderId="2" xfId="0" applyFont="1" applyFill="1" applyBorder="1"/>
    <xf numFmtId="0" fontId="3" fillId="0" borderId="2" xfId="0" applyFont="1" applyFill="1" applyBorder="1" applyAlignment="1">
      <alignment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horizontal="right"/>
    </xf>
    <xf numFmtId="166" fontId="3" fillId="0" borderId="2" xfId="29" applyFont="1" applyFill="1" applyBorder="1"/>
    <xf numFmtId="166" fontId="2" fillId="0" borderId="2" xfId="29" applyFont="1" applyFill="1" applyBorder="1" applyAlignment="1">
      <alignment horizontal="center" vertical="center"/>
    </xf>
    <xf numFmtId="166" fontId="3" fillId="0" borderId="2" xfId="29" applyFont="1" applyFill="1" applyBorder="1" applyAlignment="1">
      <alignment horizontal="center" vertical="center"/>
    </xf>
    <xf numFmtId="0" fontId="3" fillId="0" borderId="22" xfId="0" applyFont="1" applyFill="1" applyBorder="1"/>
    <xf numFmtId="0" fontId="2" fillId="0" borderId="18" xfId="65" applyFont="1" applyFill="1" applyBorder="1" applyAlignment="1">
      <alignment horizontal="center" vertical="top" wrapText="1"/>
    </xf>
    <xf numFmtId="3" fontId="2" fillId="0" borderId="1" xfId="65" applyNumberFormat="1" applyFont="1" applyFill="1" applyBorder="1" applyAlignment="1">
      <alignment horizontal="right" vertical="top" wrapText="1"/>
    </xf>
    <xf numFmtId="3" fontId="2" fillId="0" borderId="1" xfId="80" applyNumberFormat="1" applyFont="1" applyFill="1" applyBorder="1" applyAlignment="1">
      <alignment horizontal="right" vertical="top" wrapText="1"/>
    </xf>
    <xf numFmtId="166" fontId="2" fillId="0" borderId="1" xfId="33" applyFont="1" applyFill="1" applyBorder="1" applyAlignment="1">
      <alignment vertical="top"/>
    </xf>
    <xf numFmtId="0" fontId="3" fillId="0" borderId="5" xfId="65" applyFont="1" applyFill="1" applyBorder="1" applyAlignment="1">
      <alignment horizontal="left" vertical="top" wrapText="1"/>
    </xf>
    <xf numFmtId="9" fontId="3" fillId="0" borderId="1" xfId="80" applyFont="1" applyFill="1" applyBorder="1" applyAlignment="1">
      <alignment horizontal="right" vertical="top" wrapText="1"/>
    </xf>
    <xf numFmtId="166" fontId="3" fillId="0" borderId="1" xfId="33" applyFont="1" applyFill="1" applyBorder="1" applyAlignment="1">
      <alignment horizontal="right" vertical="top"/>
    </xf>
    <xf numFmtId="0" fontId="2" fillId="0" borderId="1" xfId="65" quotePrefix="1" applyFont="1" applyFill="1" applyBorder="1" applyAlignment="1">
      <alignment horizontal="center" vertical="top" wrapText="1"/>
    </xf>
    <xf numFmtId="0" fontId="2" fillId="0" borderId="1" xfId="65" applyFont="1" applyFill="1" applyBorder="1" applyAlignment="1">
      <alignment horizontal="right" vertical="top" wrapText="1"/>
    </xf>
    <xf numFmtId="9" fontId="2" fillId="0" borderId="1" xfId="80" applyNumberFormat="1" applyFont="1" applyFill="1" applyBorder="1" applyAlignment="1">
      <alignment horizontal="right" vertical="top" wrapText="1"/>
    </xf>
    <xf numFmtId="9" fontId="2" fillId="0" borderId="1" xfId="65" applyNumberFormat="1" applyFont="1" applyFill="1" applyBorder="1" applyAlignment="1">
      <alignment horizontal="right" vertical="top" wrapText="1"/>
    </xf>
    <xf numFmtId="166" fontId="3" fillId="0" borderId="3" xfId="33" applyFont="1" applyFill="1" applyBorder="1" applyAlignment="1">
      <alignment vertical="center"/>
    </xf>
    <xf numFmtId="0" fontId="3" fillId="0" borderId="1" xfId="65" applyNumberFormat="1" applyFont="1" applyFill="1" applyBorder="1" applyAlignment="1">
      <alignment horizontal="right" vertical="top"/>
    </xf>
    <xf numFmtId="166" fontId="3" fillId="0" borderId="5" xfId="33" applyFont="1" applyFill="1" applyBorder="1" applyAlignment="1">
      <alignment vertical="center"/>
    </xf>
    <xf numFmtId="0" fontId="3" fillId="0" borderId="0" xfId="65" applyFont="1" applyFill="1" applyBorder="1" applyAlignment="1">
      <alignment horizontal="left" vertical="top" wrapText="1"/>
    </xf>
    <xf numFmtId="0" fontId="3" fillId="0" borderId="0" xfId="65" applyNumberFormat="1" applyFont="1" applyFill="1" applyBorder="1" applyAlignment="1">
      <alignment horizontal="left" vertical="top" wrapText="1"/>
    </xf>
    <xf numFmtId="0" fontId="3" fillId="0" borderId="0" xfId="65" applyNumberFormat="1" applyFont="1" applyFill="1" applyBorder="1" applyAlignment="1">
      <alignment horizontal="center" vertical="top" wrapText="1"/>
    </xf>
    <xf numFmtId="0" fontId="3" fillId="0" borderId="0" xfId="65" applyNumberFormat="1" applyFont="1" applyFill="1" applyBorder="1" applyAlignment="1">
      <alignment horizontal="right" vertical="top" wrapText="1"/>
    </xf>
    <xf numFmtId="166" fontId="3" fillId="0" borderId="0" xfId="33" applyFont="1" applyFill="1" applyBorder="1" applyAlignment="1">
      <alignment vertical="center" wrapText="1"/>
    </xf>
    <xf numFmtId="0" fontId="3" fillId="0" borderId="0" xfId="65" applyNumberFormat="1" applyFont="1" applyFill="1" applyBorder="1" applyAlignment="1">
      <alignment horizontal="right" vertical="top"/>
    </xf>
    <xf numFmtId="166" fontId="3" fillId="0" borderId="0" xfId="33" applyFont="1" applyFill="1" applyBorder="1" applyAlignment="1">
      <alignment vertical="center"/>
    </xf>
    <xf numFmtId="166" fontId="3" fillId="0" borderId="0" xfId="65" applyNumberFormat="1" applyFont="1" applyFill="1" applyBorder="1" applyAlignment="1">
      <alignment horizontal="right" vertical="top" wrapText="1"/>
    </xf>
    <xf numFmtId="0" fontId="42" fillId="0" borderId="1" xfId="0" applyFont="1" applyFill="1" applyBorder="1" applyAlignment="1">
      <alignment vertical="top" wrapText="1"/>
    </xf>
    <xf numFmtId="167" fontId="2" fillId="0" borderId="1" xfId="28" applyFont="1" applyFill="1" applyBorder="1" applyAlignment="1">
      <alignment horizontal="right" vertical="top" wrapText="1"/>
    </xf>
    <xf numFmtId="0" fontId="2" fillId="0" borderId="1" xfId="65" applyNumberFormat="1" applyFont="1" applyFill="1" applyBorder="1" applyAlignment="1">
      <alignment horizontal="left" vertical="top" wrapText="1"/>
    </xf>
    <xf numFmtId="0" fontId="2" fillId="0" borderId="1" xfId="65" applyNumberFormat="1" applyFont="1" applyFill="1" applyBorder="1" applyAlignment="1">
      <alignment horizontal="center" vertical="top" wrapText="1"/>
    </xf>
    <xf numFmtId="0" fontId="2" fillId="0" borderId="1" xfId="80" applyNumberFormat="1" applyFont="1" applyFill="1" applyBorder="1" applyAlignment="1">
      <alignment horizontal="center" vertical="top" wrapText="1"/>
    </xf>
    <xf numFmtId="166" fontId="3" fillId="0" borderId="16" xfId="65" applyNumberFormat="1" applyFont="1" applyFill="1" applyBorder="1" applyAlignment="1">
      <alignment horizontal="right" vertical="top" wrapText="1"/>
    </xf>
    <xf numFmtId="0" fontId="2" fillId="0" borderId="23" xfId="65" applyFont="1" applyFill="1" applyBorder="1" applyAlignment="1">
      <alignment vertical="top"/>
    </xf>
    <xf numFmtId="0" fontId="2" fillId="0" borderId="1" xfId="65" applyFont="1" applyFill="1" applyBorder="1" applyAlignment="1">
      <alignment horizontal="right" vertical="top"/>
    </xf>
    <xf numFmtId="0" fontId="2" fillId="0" borderId="1" xfId="65" applyFont="1" applyFill="1" applyBorder="1" applyAlignment="1">
      <alignment vertical="top"/>
    </xf>
    <xf numFmtId="0" fontId="2" fillId="0" borderId="7" xfId="65" applyFont="1" applyFill="1" applyBorder="1" applyAlignment="1">
      <alignment vertical="top"/>
    </xf>
    <xf numFmtId="0" fontId="3" fillId="0" borderId="2" xfId="65" applyNumberFormat="1" applyFont="1" applyFill="1" applyBorder="1" applyAlignment="1">
      <alignment horizontal="right" vertical="top"/>
    </xf>
    <xf numFmtId="172" fontId="7" fillId="0" borderId="1" xfId="29" applyNumberFormat="1" applyFont="1" applyFill="1" applyBorder="1" applyAlignment="1">
      <alignment horizontal="right" vertical="top"/>
    </xf>
    <xf numFmtId="170" fontId="2" fillId="0" borderId="1" xfId="46" applyNumberFormat="1" applyFont="1" applyFill="1" applyBorder="1" applyAlignment="1">
      <alignment vertical="top" wrapText="1"/>
    </xf>
    <xf numFmtId="170" fontId="2" fillId="0" borderId="6" xfId="46" applyNumberFormat="1" applyFont="1" applyFill="1" applyBorder="1" applyAlignment="1">
      <alignment horizontal="center" vertical="top" wrapText="1"/>
    </xf>
    <xf numFmtId="167" fontId="2" fillId="0" borderId="1" xfId="44" applyNumberFormat="1" applyFont="1" applyFill="1" applyBorder="1" applyAlignment="1">
      <alignment horizontal="right" vertical="top" wrapText="1"/>
    </xf>
    <xf numFmtId="170" fontId="2" fillId="0" borderId="1" xfId="46" applyNumberFormat="1" applyFont="1" applyFill="1" applyBorder="1" applyAlignment="1">
      <alignment horizontal="right" vertical="top" wrapText="1"/>
    </xf>
    <xf numFmtId="166" fontId="3" fillId="0" borderId="1" xfId="36" applyFont="1" applyFill="1" applyBorder="1" applyAlignment="1">
      <alignment vertical="top" wrapText="1"/>
    </xf>
    <xf numFmtId="170" fontId="3" fillId="0" borderId="1" xfId="46" applyNumberFormat="1" applyFont="1" applyFill="1" applyBorder="1" applyAlignment="1">
      <alignment vertical="top" wrapText="1"/>
    </xf>
    <xf numFmtId="170" fontId="3" fillId="0" borderId="6" xfId="46" applyNumberFormat="1" applyFont="1" applyFill="1" applyBorder="1" applyAlignment="1">
      <alignment vertical="top" wrapText="1"/>
    </xf>
    <xf numFmtId="0" fontId="3" fillId="0" borderId="1" xfId="70" quotePrefix="1" applyFont="1" applyFill="1" applyBorder="1" applyAlignment="1">
      <alignment horizontal="right" vertical="top" wrapText="1"/>
    </xf>
    <xf numFmtId="166" fontId="3" fillId="0" borderId="1" xfId="37" quotePrefix="1" applyNumberFormat="1" applyFont="1" applyFill="1" applyBorder="1" applyAlignment="1">
      <alignment horizontal="right" vertical="top" wrapText="1"/>
    </xf>
    <xf numFmtId="1" fontId="3" fillId="0" borderId="1" xfId="70" applyNumberFormat="1" applyFont="1" applyFill="1" applyBorder="1" applyAlignment="1">
      <alignment vertical="top" wrapText="1"/>
    </xf>
    <xf numFmtId="0" fontId="2" fillId="0" borderId="0" xfId="68" applyFont="1" applyFill="1" applyAlignment="1">
      <alignment horizontal="center" vertical="top" wrapText="1"/>
    </xf>
    <xf numFmtId="0" fontId="2" fillId="0" borderId="1" xfId="68" applyFont="1" applyFill="1" applyBorder="1" applyAlignment="1">
      <alignment horizontal="right" vertical="top" wrapText="1"/>
    </xf>
    <xf numFmtId="166" fontId="2" fillId="0" borderId="1" xfId="68" applyNumberFormat="1" applyFont="1" applyFill="1" applyBorder="1" applyAlignment="1">
      <alignment vertical="top" wrapText="1"/>
    </xf>
    <xf numFmtId="0" fontId="2" fillId="0" borderId="6" xfId="68" applyFont="1" applyFill="1" applyBorder="1" applyAlignment="1">
      <alignment vertical="top" wrapText="1"/>
    </xf>
    <xf numFmtId="0" fontId="2" fillId="0" borderId="4" xfId="70" applyFont="1" applyFill="1" applyBorder="1" applyAlignment="1">
      <alignment horizontal="left" vertical="top" wrapText="1"/>
    </xf>
    <xf numFmtId="0" fontId="2" fillId="0" borderId="1" xfId="70" quotePrefix="1" applyFont="1" applyFill="1" applyBorder="1" applyAlignment="1">
      <alignment horizontal="right" vertical="top" wrapText="1"/>
    </xf>
    <xf numFmtId="1" fontId="2" fillId="0" borderId="1" xfId="70" applyNumberFormat="1" applyFont="1" applyFill="1" applyBorder="1" applyAlignment="1">
      <alignment vertical="top" wrapText="1"/>
    </xf>
    <xf numFmtId="166" fontId="2" fillId="0" borderId="6" xfId="37" applyFont="1" applyFill="1" applyBorder="1" applyAlignment="1">
      <alignment vertical="top" wrapText="1"/>
    </xf>
    <xf numFmtId="166" fontId="3" fillId="0" borderId="6" xfId="37" applyFont="1" applyFill="1" applyBorder="1" applyAlignment="1">
      <alignment vertical="top" wrapText="1"/>
    </xf>
    <xf numFmtId="10" fontId="3" fillId="0" borderId="1" xfId="70" quotePrefix="1" applyNumberFormat="1" applyFont="1" applyFill="1" applyBorder="1" applyAlignment="1">
      <alignment horizontal="right" vertical="top" wrapText="1"/>
    </xf>
    <xf numFmtId="0" fontId="2" fillId="0" borderId="1" xfId="70" quotePrefix="1" applyNumberFormat="1" applyFont="1" applyFill="1" applyBorder="1" applyAlignment="1">
      <alignment horizontal="right" vertical="top" wrapText="1"/>
    </xf>
    <xf numFmtId="166" fontId="2" fillId="0" borderId="1" xfId="36" applyFont="1" applyFill="1" applyBorder="1" applyAlignment="1">
      <alignment vertical="top" wrapText="1"/>
    </xf>
    <xf numFmtId="0" fontId="3" fillId="0" borderId="1" xfId="70" quotePrefix="1" applyNumberFormat="1" applyFont="1" applyFill="1" applyBorder="1" applyAlignment="1">
      <alignment horizontal="right" vertical="top" wrapText="1"/>
    </xf>
    <xf numFmtId="170" fontId="2" fillId="0" borderId="6" xfId="46" applyNumberFormat="1" applyFont="1" applyFill="1" applyBorder="1" applyAlignment="1">
      <alignment vertical="top" wrapText="1"/>
    </xf>
    <xf numFmtId="0" fontId="2" fillId="0" borderId="24" xfId="70" applyFont="1" applyFill="1" applyBorder="1" applyAlignment="1">
      <alignment horizontal="left" vertical="top" wrapText="1"/>
    </xf>
    <xf numFmtId="0" fontId="2" fillId="0" borderId="2" xfId="70" applyFont="1" applyFill="1" applyBorder="1" applyAlignment="1">
      <alignment horizontal="left" vertical="top" wrapText="1"/>
    </xf>
    <xf numFmtId="0" fontId="2" fillId="0" borderId="2" xfId="70" applyFont="1" applyFill="1" applyBorder="1" applyAlignment="1">
      <alignment vertical="top" wrapText="1"/>
    </xf>
    <xf numFmtId="0" fontId="2" fillId="0" borderId="2" xfId="70" applyFont="1" applyFill="1" applyBorder="1" applyAlignment="1">
      <alignment horizontal="center" vertical="top" wrapText="1"/>
    </xf>
    <xf numFmtId="0" fontId="2" fillId="0" borderId="2" xfId="70" quotePrefix="1" applyFont="1" applyFill="1" applyBorder="1" applyAlignment="1">
      <alignment horizontal="right" vertical="top" wrapText="1"/>
    </xf>
    <xf numFmtId="1" fontId="2" fillId="0" borderId="2" xfId="70" applyNumberFormat="1" applyFont="1" applyFill="1" applyBorder="1" applyAlignment="1">
      <alignment vertical="top" wrapText="1"/>
    </xf>
    <xf numFmtId="170" fontId="2" fillId="0" borderId="2" xfId="46" applyNumberFormat="1" applyFont="1" applyFill="1" applyBorder="1" applyAlignment="1">
      <alignment horizontal="right" vertical="top" wrapText="1"/>
    </xf>
    <xf numFmtId="170" fontId="2" fillId="0" borderId="2" xfId="46" applyNumberFormat="1" applyFont="1" applyFill="1" applyBorder="1" applyAlignment="1">
      <alignment vertical="top" wrapText="1"/>
    </xf>
    <xf numFmtId="170" fontId="2" fillId="0" borderId="22" xfId="46" applyNumberFormat="1" applyFont="1" applyFill="1" applyBorder="1" applyAlignment="1">
      <alignment horizontal="right" vertical="top" wrapText="1"/>
    </xf>
    <xf numFmtId="0" fontId="3" fillId="0" borderId="25" xfId="0" applyFont="1" applyFill="1" applyBorder="1" applyAlignment="1">
      <alignment horizontal="center" vertical="top" wrapText="1"/>
    </xf>
    <xf numFmtId="0" fontId="2" fillId="0" borderId="1" xfId="71" applyFont="1" applyFill="1" applyBorder="1" applyAlignment="1">
      <alignment vertical="top"/>
    </xf>
    <xf numFmtId="0" fontId="3" fillId="0" borderId="26" xfId="72" applyFont="1" applyFill="1" applyBorder="1" applyAlignment="1">
      <alignment horizontal="left" vertical="top" wrapText="1"/>
    </xf>
    <xf numFmtId="0" fontId="3" fillId="0" borderId="1" xfId="72" applyFont="1" applyFill="1" applyBorder="1" applyAlignment="1">
      <alignment horizontal="left" vertical="top" wrapText="1"/>
    </xf>
    <xf numFmtId="0" fontId="2" fillId="0" borderId="1" xfId="72" applyFont="1" applyFill="1" applyBorder="1" applyAlignment="1">
      <alignment vertical="top" wrapText="1"/>
    </xf>
    <xf numFmtId="0" fontId="2" fillId="0" borderId="1" xfId="72" applyFont="1" applyFill="1" applyBorder="1" applyAlignment="1">
      <alignment vertical="top"/>
    </xf>
    <xf numFmtId="0" fontId="2" fillId="0" borderId="1" xfId="72" applyFont="1" applyFill="1" applyBorder="1" applyAlignment="1">
      <alignment horizontal="center" vertical="top" wrapText="1"/>
    </xf>
    <xf numFmtId="167" fontId="2" fillId="0" borderId="1" xfId="48" applyFont="1" applyFill="1" applyBorder="1" applyAlignment="1">
      <alignment horizontal="right" vertical="top"/>
    </xf>
    <xf numFmtId="167" fontId="2" fillId="0" borderId="1" xfId="48" applyNumberFormat="1" applyFont="1" applyFill="1" applyBorder="1" applyAlignment="1">
      <alignment horizontal="right" vertical="top"/>
    </xf>
    <xf numFmtId="0" fontId="2" fillId="0" borderId="6" xfId="72" applyFont="1" applyFill="1" applyBorder="1" applyAlignment="1">
      <alignment vertical="top"/>
    </xf>
    <xf numFmtId="0" fontId="2" fillId="0" borderId="6" xfId="72" applyFont="1" applyFill="1" applyBorder="1" applyAlignment="1">
      <alignment horizontal="center" vertical="top"/>
    </xf>
    <xf numFmtId="0" fontId="2" fillId="0" borderId="3" xfId="72" applyFont="1" applyFill="1" applyBorder="1" applyAlignment="1">
      <alignment vertical="top" wrapText="1"/>
    </xf>
    <xf numFmtId="0" fontId="2" fillId="0" borderId="1" xfId="72" applyFont="1" applyFill="1" applyBorder="1" applyAlignment="1">
      <alignment horizontal="center" vertical="top"/>
    </xf>
    <xf numFmtId="170" fontId="2" fillId="0" borderId="1" xfId="48" applyNumberFormat="1" applyFont="1" applyFill="1" applyBorder="1" applyAlignment="1">
      <alignment vertical="top"/>
    </xf>
    <xf numFmtId="0" fontId="2" fillId="0" borderId="7" xfId="72" applyFont="1" applyFill="1" applyBorder="1" applyAlignment="1">
      <alignment vertical="top"/>
    </xf>
    <xf numFmtId="0" fontId="2" fillId="0" borderId="4" xfId="72" applyFont="1" applyFill="1" applyBorder="1" applyAlignment="1">
      <alignment vertical="top" wrapText="1"/>
    </xf>
    <xf numFmtId="167" fontId="2" fillId="0" borderId="1" xfId="48" applyFont="1" applyFill="1" applyBorder="1" applyAlignment="1">
      <alignment vertical="top"/>
    </xf>
    <xf numFmtId="0" fontId="3" fillId="0" borderId="1" xfId="72" applyFont="1" applyFill="1" applyBorder="1" applyAlignment="1">
      <alignment vertical="top" wrapText="1"/>
    </xf>
    <xf numFmtId="0" fontId="3" fillId="0" borderId="1" xfId="72" applyFont="1" applyFill="1" applyBorder="1" applyAlignment="1">
      <alignment horizontal="center" vertical="top" wrapText="1"/>
    </xf>
    <xf numFmtId="167" fontId="3" fillId="0" borderId="1" xfId="48" applyFont="1" applyFill="1" applyBorder="1" applyAlignment="1">
      <alignment horizontal="right" vertical="top"/>
    </xf>
    <xf numFmtId="167" fontId="3" fillId="0" borderId="1" xfId="48" applyFont="1" applyFill="1" applyBorder="1" applyAlignment="1">
      <alignment horizontal="center" vertical="top"/>
    </xf>
    <xf numFmtId="170" fontId="3" fillId="0" borderId="1" xfId="48" applyNumberFormat="1" applyFont="1" applyFill="1" applyBorder="1" applyAlignment="1">
      <alignment horizontal="center" vertical="top"/>
    </xf>
    <xf numFmtId="166" fontId="3" fillId="0" borderId="1" xfId="40" applyFont="1" applyFill="1" applyBorder="1" applyAlignment="1">
      <alignment horizontal="right" vertical="top"/>
    </xf>
    <xf numFmtId="0" fontId="3" fillId="0" borderId="6" xfId="72" applyFont="1" applyFill="1" applyBorder="1" applyAlignment="1">
      <alignment vertical="top"/>
    </xf>
    <xf numFmtId="0" fontId="3" fillId="0" borderId="4" xfId="72" applyFont="1" applyFill="1" applyBorder="1" applyAlignment="1">
      <alignment vertical="top" wrapText="1"/>
    </xf>
    <xf numFmtId="170" fontId="3" fillId="0" borderId="1" xfId="48" applyNumberFormat="1" applyFont="1" applyFill="1" applyBorder="1" applyAlignment="1">
      <alignment vertical="top"/>
    </xf>
    <xf numFmtId="166" fontId="3" fillId="0" borderId="1" xfId="40" applyFont="1" applyFill="1" applyBorder="1" applyAlignment="1">
      <alignment horizontal="center" vertical="top"/>
    </xf>
    <xf numFmtId="0" fontId="3" fillId="0" borderId="3" xfId="72" applyFont="1" applyFill="1" applyBorder="1" applyAlignment="1">
      <alignment horizontal="left" vertical="top" wrapText="1"/>
    </xf>
    <xf numFmtId="166" fontId="3" fillId="0" borderId="1" xfId="40" applyFont="1" applyFill="1" applyBorder="1" applyAlignment="1">
      <alignment vertical="top"/>
    </xf>
    <xf numFmtId="0" fontId="3" fillId="0" borderId="5" xfId="72" applyFont="1" applyFill="1" applyBorder="1" applyAlignment="1">
      <alignment horizontal="left" vertical="top" wrapText="1"/>
    </xf>
    <xf numFmtId="0" fontId="2" fillId="0" borderId="0" xfId="72" applyFont="1" applyFill="1" applyAlignment="1">
      <alignment vertical="top" wrapText="1"/>
    </xf>
    <xf numFmtId="0" fontId="2" fillId="0" borderId="3" xfId="72" applyFont="1" applyFill="1" applyBorder="1" applyAlignment="1">
      <alignment horizontal="left" vertical="top" wrapText="1"/>
    </xf>
    <xf numFmtId="0" fontId="2" fillId="0" borderId="1" xfId="72" applyFont="1" applyFill="1" applyBorder="1" applyAlignment="1">
      <alignment horizontal="right" vertical="top"/>
    </xf>
    <xf numFmtId="170" fontId="2" fillId="0" borderId="1" xfId="72" applyNumberFormat="1" applyFont="1" applyFill="1" applyBorder="1" applyAlignment="1">
      <alignment vertical="top"/>
    </xf>
    <xf numFmtId="0" fontId="2" fillId="0" borderId="3" xfId="72" applyFont="1" applyFill="1" applyBorder="1" applyAlignment="1">
      <alignment horizontal="right" vertical="top"/>
    </xf>
    <xf numFmtId="167" fontId="2" fillId="0" borderId="3" xfId="48" applyFont="1" applyFill="1" applyBorder="1" applyAlignment="1">
      <alignment horizontal="center" vertical="top"/>
    </xf>
    <xf numFmtId="170" fontId="2" fillId="0" borderId="3" xfId="48" applyNumberFormat="1" applyFont="1" applyFill="1" applyBorder="1" applyAlignment="1">
      <alignment vertical="top"/>
    </xf>
    <xf numFmtId="0" fontId="2" fillId="0" borderId="13" xfId="72" applyFont="1" applyFill="1" applyBorder="1" applyAlignment="1">
      <alignment vertical="top"/>
    </xf>
    <xf numFmtId="0" fontId="2" fillId="0" borderId="1" xfId="72" applyFont="1" applyFill="1" applyBorder="1" applyAlignment="1">
      <alignment horizontal="left" vertical="top" wrapText="1"/>
    </xf>
    <xf numFmtId="0" fontId="3" fillId="0" borderId="0" xfId="72" applyFont="1" applyFill="1" applyBorder="1" applyAlignment="1">
      <alignment vertical="top" wrapText="1"/>
    </xf>
    <xf numFmtId="0" fontId="3" fillId="0" borderId="6" xfId="72" applyFont="1" applyFill="1" applyBorder="1" applyAlignment="1">
      <alignment vertical="top" wrapText="1"/>
    </xf>
    <xf numFmtId="0" fontId="3" fillId="0" borderId="1" xfId="72" quotePrefix="1" applyFont="1" applyFill="1" applyBorder="1" applyAlignment="1">
      <alignment horizontal="left" vertical="top" wrapText="1"/>
    </xf>
    <xf numFmtId="170" fontId="3" fillId="0" borderId="3" xfId="48" applyNumberFormat="1" applyFont="1" applyFill="1" applyBorder="1" applyAlignment="1">
      <alignment vertical="center"/>
    </xf>
    <xf numFmtId="170" fontId="3" fillId="0" borderId="4" xfId="48" applyNumberFormat="1" applyFont="1" applyFill="1" applyBorder="1" applyAlignment="1">
      <alignment vertical="center"/>
    </xf>
    <xf numFmtId="0" fontId="3" fillId="0" borderId="5" xfId="72" applyFont="1" applyFill="1" applyBorder="1" applyAlignment="1">
      <alignment vertical="top" wrapText="1"/>
    </xf>
    <xf numFmtId="170" fontId="3" fillId="0" borderId="5" xfId="48" applyNumberFormat="1" applyFont="1" applyFill="1" applyBorder="1" applyAlignment="1">
      <alignment vertical="center"/>
    </xf>
    <xf numFmtId="2" fontId="2" fillId="0" borderId="1" xfId="72" applyNumberFormat="1" applyFont="1" applyFill="1" applyBorder="1" applyAlignment="1">
      <alignment horizontal="right" vertical="top"/>
    </xf>
    <xf numFmtId="2" fontId="2" fillId="0" borderId="1" xfId="72" applyNumberFormat="1" applyFont="1" applyFill="1" applyBorder="1" applyAlignment="1">
      <alignment vertical="top"/>
    </xf>
    <xf numFmtId="170" fontId="2" fillId="0" borderId="3" xfId="72" applyNumberFormat="1" applyFont="1" applyFill="1" applyBorder="1" applyAlignment="1">
      <alignment vertical="top"/>
    </xf>
    <xf numFmtId="167" fontId="2" fillId="0" borderId="7" xfId="48" applyFont="1" applyFill="1" applyBorder="1" applyAlignment="1">
      <alignment horizontal="center" vertical="top"/>
    </xf>
    <xf numFmtId="167" fontId="3" fillId="0" borderId="1" xfId="48" applyFont="1" applyFill="1" applyBorder="1" applyAlignment="1">
      <alignment vertical="top"/>
    </xf>
    <xf numFmtId="166" fontId="2" fillId="0" borderId="1" xfId="40" applyFont="1" applyFill="1" applyBorder="1" applyAlignment="1">
      <alignment horizontal="right" vertical="top"/>
    </xf>
    <xf numFmtId="0" fontId="3" fillId="0" borderId="4" xfId="72" applyFont="1" applyFill="1" applyBorder="1" applyAlignment="1">
      <alignment horizontal="left" vertical="top" wrapText="1"/>
    </xf>
    <xf numFmtId="0" fontId="3" fillId="0" borderId="3" xfId="72" applyFont="1" applyFill="1" applyBorder="1" applyAlignment="1">
      <alignment vertical="top" wrapText="1"/>
    </xf>
    <xf numFmtId="167" fontId="3" fillId="0" borderId="1" xfId="48" applyFont="1" applyFill="1" applyBorder="1" applyAlignment="1">
      <alignment horizontal="right" vertical="center"/>
    </xf>
    <xf numFmtId="167" fontId="3" fillId="0" borderId="1" xfId="48" applyFont="1" applyFill="1" applyBorder="1" applyAlignment="1">
      <alignment vertical="center"/>
    </xf>
    <xf numFmtId="166" fontId="3" fillId="0" borderId="1" xfId="40" applyFont="1" applyFill="1" applyBorder="1" applyAlignment="1">
      <alignment horizontal="right" vertical="center"/>
    </xf>
    <xf numFmtId="170" fontId="3" fillId="0" borderId="1" xfId="48" applyNumberFormat="1" applyFont="1" applyFill="1" applyBorder="1" applyAlignment="1">
      <alignment horizontal="right" vertical="center"/>
    </xf>
    <xf numFmtId="170" fontId="3" fillId="0" borderId="1" xfId="48" applyNumberFormat="1" applyFont="1" applyFill="1" applyBorder="1" applyAlignment="1">
      <alignment vertical="center"/>
    </xf>
    <xf numFmtId="166" fontId="3" fillId="0" borderId="3" xfId="40" applyFont="1" applyFill="1" applyBorder="1" applyAlignment="1">
      <alignment vertical="top"/>
    </xf>
    <xf numFmtId="166" fontId="3" fillId="0" borderId="5" xfId="40" applyFont="1" applyFill="1" applyBorder="1" applyAlignment="1">
      <alignment vertical="top"/>
    </xf>
    <xf numFmtId="0" fontId="3" fillId="0" borderId="24" xfId="72" applyFont="1" applyFill="1" applyBorder="1" applyAlignment="1">
      <alignment vertical="top"/>
    </xf>
    <xf numFmtId="0" fontId="3" fillId="0" borderId="2" xfId="72" applyFont="1" applyFill="1" applyBorder="1" applyAlignment="1">
      <alignment horizontal="center" vertical="top"/>
    </xf>
    <xf numFmtId="0" fontId="3" fillId="0" borderId="2" xfId="72" applyFont="1" applyFill="1" applyBorder="1" applyAlignment="1">
      <alignment horizontal="left" vertical="top"/>
    </xf>
    <xf numFmtId="0" fontId="3" fillId="0" borderId="2" xfId="72" applyFont="1" applyFill="1" applyBorder="1" applyAlignment="1">
      <alignment horizontal="right" vertical="top"/>
    </xf>
    <xf numFmtId="0" fontId="3" fillId="0" borderId="2" xfId="72" applyFont="1" applyFill="1" applyBorder="1" applyAlignment="1">
      <alignment vertical="top"/>
    </xf>
    <xf numFmtId="170" fontId="2" fillId="0" borderId="2" xfId="72" applyNumberFormat="1" applyFont="1" applyFill="1" applyBorder="1" applyAlignment="1">
      <alignment vertical="top"/>
    </xf>
    <xf numFmtId="0" fontId="3" fillId="0" borderId="22" xfId="72" applyFont="1" applyFill="1" applyBorder="1" applyAlignment="1">
      <alignment vertical="top"/>
    </xf>
    <xf numFmtId="0" fontId="2" fillId="0" borderId="1" xfId="73" applyFont="1" applyFill="1" applyBorder="1" applyAlignment="1">
      <alignment vertical="top" wrapText="1"/>
    </xf>
    <xf numFmtId="0" fontId="2" fillId="0" borderId="6" xfId="73" applyFont="1" applyFill="1" applyBorder="1" applyAlignment="1">
      <alignment horizontal="center" vertical="top" wrapText="1"/>
    </xf>
    <xf numFmtId="0" fontId="2" fillId="0" borderId="6" xfId="73" applyFont="1" applyFill="1" applyBorder="1" applyAlignment="1">
      <alignment vertical="top" wrapText="1"/>
    </xf>
    <xf numFmtId="0" fontId="3" fillId="0" borderId="1" xfId="73" applyFont="1" applyFill="1" applyBorder="1" applyAlignment="1">
      <alignment horizontal="left" vertical="top" wrapText="1"/>
    </xf>
    <xf numFmtId="0" fontId="3" fillId="0" borderId="1" xfId="73" applyFont="1" applyFill="1" applyBorder="1" applyAlignment="1">
      <alignment horizontal="center" vertical="top" wrapText="1"/>
    </xf>
    <xf numFmtId="0" fontId="3" fillId="0" borderId="1" xfId="73" applyFont="1" applyFill="1" applyBorder="1" applyAlignment="1">
      <alignment horizontal="right" vertical="top" wrapText="1"/>
    </xf>
    <xf numFmtId="166" fontId="3" fillId="0" borderId="1" xfId="41" applyFont="1" applyFill="1" applyBorder="1" applyAlignment="1">
      <alignment horizontal="right" vertical="top" wrapText="1"/>
    </xf>
    <xf numFmtId="0" fontId="3" fillId="0" borderId="4" xfId="73" applyFont="1" applyFill="1" applyBorder="1"/>
    <xf numFmtId="0" fontId="2" fillId="0" borderId="1" xfId="73" applyFont="1" applyFill="1" applyBorder="1" applyAlignment="1">
      <alignment horizontal="left" vertical="top" wrapText="1"/>
    </xf>
    <xf numFmtId="0" fontId="2" fillId="0" borderId="1" xfId="73" applyFont="1" applyFill="1" applyBorder="1" applyAlignment="1">
      <alignment horizontal="right" vertical="top" wrapText="1"/>
    </xf>
    <xf numFmtId="166" fontId="2" fillId="0" borderId="1" xfId="41" applyFont="1" applyFill="1" applyBorder="1" applyAlignment="1">
      <alignment horizontal="right" vertical="top" wrapText="1"/>
    </xf>
    <xf numFmtId="0" fontId="3" fillId="0" borderId="6" xfId="73" applyFont="1" applyFill="1" applyBorder="1" applyAlignment="1">
      <alignment horizontal="center" vertical="top" wrapText="1"/>
    </xf>
    <xf numFmtId="0" fontId="3" fillId="0" borderId="1" xfId="66" applyFont="1" applyFill="1" applyBorder="1" applyAlignment="1">
      <alignment horizontal="left" vertical="top" wrapText="1"/>
    </xf>
    <xf numFmtId="0" fontId="3" fillId="0" borderId="4" xfId="73" applyFont="1" applyFill="1" applyBorder="1" applyAlignment="1">
      <alignment horizontal="center" vertical="top" wrapText="1"/>
    </xf>
    <xf numFmtId="0" fontId="2" fillId="0" borderId="4" xfId="73" applyFont="1" applyFill="1" applyBorder="1" applyAlignment="1">
      <alignment horizontal="left" vertical="top" wrapText="1"/>
    </xf>
    <xf numFmtId="0" fontId="3" fillId="0" borderId="24" xfId="73" applyFont="1" applyFill="1" applyBorder="1"/>
    <xf numFmtId="0" fontId="3" fillId="0" borderId="2" xfId="73" applyFont="1" applyFill="1" applyBorder="1" applyAlignment="1">
      <alignment horizontal="center" vertical="top" wrapText="1"/>
    </xf>
    <xf numFmtId="0" fontId="3" fillId="0" borderId="2" xfId="73" applyFont="1" applyFill="1" applyBorder="1" applyAlignment="1">
      <alignment horizontal="left" vertical="top" wrapText="1"/>
    </xf>
    <xf numFmtId="0" fontId="3" fillId="0" borderId="2" xfId="73" applyFont="1" applyFill="1" applyBorder="1" applyAlignment="1">
      <alignment horizontal="right" vertical="top" wrapText="1"/>
    </xf>
    <xf numFmtId="0" fontId="3" fillId="0" borderId="22" xfId="73" applyFont="1" applyFill="1" applyBorder="1" applyAlignment="1">
      <alignment vertical="top" wrapText="1"/>
    </xf>
    <xf numFmtId="0" fontId="2" fillId="0" borderId="3" xfId="69" applyFont="1" applyFill="1" applyBorder="1" applyAlignment="1">
      <alignment horizontal="left" vertical="top" wrapText="1"/>
    </xf>
    <xf numFmtId="172" fontId="2" fillId="0" borderId="1" xfId="38" applyNumberFormat="1" applyFont="1" applyFill="1" applyBorder="1" applyAlignment="1">
      <alignment horizontal="right" vertical="top"/>
    </xf>
    <xf numFmtId="9" fontId="2" fillId="0" borderId="1" xfId="69" applyNumberFormat="1" applyFont="1" applyFill="1" applyBorder="1" applyAlignment="1">
      <alignment horizontal="right" vertical="top" wrapText="1"/>
    </xf>
    <xf numFmtId="0" fontId="2" fillId="0" borderId="1" xfId="69" applyNumberFormat="1" applyFont="1" applyFill="1" applyBorder="1" applyAlignment="1">
      <alignment horizontal="right" vertical="top" wrapText="1"/>
    </xf>
    <xf numFmtId="170" fontId="2" fillId="0" borderId="1" xfId="45" applyNumberFormat="1" applyFont="1" applyFill="1" applyBorder="1" applyAlignment="1">
      <alignment horizontal="left" vertical="top" wrapText="1"/>
    </xf>
    <xf numFmtId="0" fontId="2" fillId="0" borderId="1" xfId="69" applyFont="1" applyFill="1" applyBorder="1" applyAlignment="1">
      <alignment horizontal="right" vertical="top"/>
    </xf>
    <xf numFmtId="166" fontId="2" fillId="0" borderId="1" xfId="69" applyNumberFormat="1" applyFont="1" applyFill="1" applyBorder="1" applyAlignment="1">
      <alignment horizontal="center" vertical="top" wrapText="1"/>
    </xf>
    <xf numFmtId="0" fontId="2" fillId="0" borderId="6" xfId="69" applyFont="1" applyFill="1" applyBorder="1" applyAlignment="1">
      <alignment horizontal="center" vertical="center" wrapText="1"/>
    </xf>
    <xf numFmtId="0" fontId="2" fillId="0" borderId="1" xfId="69" quotePrefix="1" applyFont="1" applyFill="1" applyBorder="1" applyAlignment="1">
      <alignment horizontal="right" vertical="top" wrapText="1"/>
    </xf>
    <xf numFmtId="170" fontId="2" fillId="0" borderId="1" xfId="45" applyNumberFormat="1" applyFont="1" applyFill="1" applyBorder="1" applyAlignment="1">
      <alignment horizontal="right" vertical="top" wrapText="1"/>
    </xf>
    <xf numFmtId="166" fontId="2" fillId="0" borderId="1" xfId="38" applyFont="1" applyFill="1" applyBorder="1" applyAlignment="1">
      <alignment vertical="top" wrapText="1"/>
    </xf>
    <xf numFmtId="0" fontId="3" fillId="0" borderId="3" xfId="74" applyFont="1" applyFill="1" applyBorder="1" applyAlignment="1">
      <alignment horizontal="left" vertical="top" wrapText="1"/>
    </xf>
    <xf numFmtId="0" fontId="2" fillId="0" borderId="3" xfId="74" applyFont="1" applyFill="1" applyBorder="1" applyAlignment="1">
      <alignment vertical="top" wrapText="1"/>
    </xf>
    <xf numFmtId="0" fontId="2" fillId="0" borderId="1" xfId="74" applyFont="1" applyFill="1" applyBorder="1" applyAlignment="1">
      <alignment vertical="top" wrapText="1"/>
    </xf>
    <xf numFmtId="0" fontId="2" fillId="0" borderId="1" xfId="74" applyFont="1" applyFill="1" applyBorder="1" applyAlignment="1">
      <alignment horizontal="center" vertical="top" wrapText="1"/>
    </xf>
    <xf numFmtId="166" fontId="2" fillId="0" borderId="1" xfId="30" applyFont="1" applyFill="1" applyBorder="1" applyAlignment="1">
      <alignment horizontal="center" vertical="top" wrapText="1"/>
    </xf>
    <xf numFmtId="166" fontId="2" fillId="0" borderId="6" xfId="30" applyFont="1" applyFill="1" applyBorder="1" applyAlignment="1">
      <alignment horizontal="center" vertical="top" wrapText="1"/>
    </xf>
    <xf numFmtId="0" fontId="2" fillId="0" borderId="4" xfId="74" applyFont="1" applyFill="1" applyBorder="1" applyAlignment="1">
      <alignment vertical="top" wrapText="1"/>
    </xf>
    <xf numFmtId="166" fontId="2" fillId="0" borderId="1" xfId="50" applyNumberFormat="1" applyFont="1" applyFill="1" applyBorder="1" applyAlignment="1">
      <alignment vertical="top" wrapText="1"/>
    </xf>
    <xf numFmtId="0" fontId="3" fillId="0" borderId="4" xfId="74" applyFont="1" applyFill="1" applyBorder="1" applyAlignment="1">
      <alignment vertical="top" wrapText="1"/>
    </xf>
    <xf numFmtId="0" fontId="3" fillId="0" borderId="1" xfId="74" applyFont="1" applyFill="1" applyBorder="1" applyAlignment="1">
      <alignment vertical="top" wrapText="1"/>
    </xf>
    <xf numFmtId="0" fontId="3" fillId="0" borderId="1" xfId="74" applyFont="1" applyFill="1" applyBorder="1" applyAlignment="1">
      <alignment horizontal="center" vertical="top" wrapText="1"/>
    </xf>
    <xf numFmtId="166" fontId="3" fillId="0" borderId="1" xfId="30" applyFont="1" applyFill="1" applyBorder="1" applyAlignment="1">
      <alignment vertical="top" wrapText="1"/>
    </xf>
    <xf numFmtId="166" fontId="3" fillId="0" borderId="1" xfId="50" applyNumberFormat="1" applyFont="1" applyFill="1" applyBorder="1" applyAlignment="1">
      <alignment vertical="top" wrapText="1"/>
    </xf>
    <xf numFmtId="166" fontId="3" fillId="0" borderId="6" xfId="30" applyFont="1" applyFill="1" applyBorder="1" applyAlignment="1">
      <alignment horizontal="center" vertical="top" wrapText="1"/>
    </xf>
    <xf numFmtId="166" fontId="3" fillId="0" borderId="1" xfId="74" applyNumberFormat="1" applyFont="1" applyFill="1" applyBorder="1" applyAlignment="1">
      <alignment horizontal="center" vertical="top" wrapText="1"/>
    </xf>
    <xf numFmtId="177" fontId="3" fillId="0" borderId="1" xfId="74" applyNumberFormat="1" applyFont="1" applyFill="1" applyBorder="1" applyAlignment="1">
      <alignment vertical="top" wrapText="1"/>
    </xf>
    <xf numFmtId="166" fontId="2" fillId="0" borderId="1" xfId="30" applyFont="1" applyFill="1" applyBorder="1" applyAlignment="1">
      <alignment horizontal="right" vertical="top" wrapText="1"/>
    </xf>
    <xf numFmtId="166" fontId="2" fillId="0" borderId="1" xfId="30" applyFont="1" applyFill="1" applyBorder="1" applyAlignment="1">
      <alignment vertical="top" wrapText="1"/>
    </xf>
    <xf numFmtId="166" fontId="3" fillId="0" borderId="1" xfId="50" quotePrefix="1" applyNumberFormat="1" applyFont="1" applyFill="1" applyBorder="1" applyAlignment="1">
      <alignment vertical="top" wrapText="1"/>
    </xf>
    <xf numFmtId="0" fontId="3" fillId="0" borderId="1" xfId="74" quotePrefix="1" applyFont="1" applyFill="1" applyBorder="1" applyAlignment="1">
      <alignment vertical="top" wrapText="1"/>
    </xf>
    <xf numFmtId="0" fontId="3" fillId="0" borderId="5" xfId="74" applyFont="1" applyFill="1" applyBorder="1" applyAlignment="1">
      <alignment vertical="top" wrapText="1"/>
    </xf>
    <xf numFmtId="0" fontId="3" fillId="0" borderId="1" xfId="74" applyFont="1" applyFill="1" applyBorder="1" applyAlignment="1">
      <alignment horizontal="right" vertical="top" wrapText="1"/>
    </xf>
    <xf numFmtId="166" fontId="3" fillId="0" borderId="3" xfId="50" applyNumberFormat="1" applyFont="1" applyFill="1" applyBorder="1" applyAlignment="1">
      <alignment vertical="top" wrapText="1"/>
    </xf>
    <xf numFmtId="166" fontId="3" fillId="0" borderId="13" xfId="30" applyFont="1" applyFill="1" applyBorder="1" applyAlignment="1">
      <alignment vertical="top" wrapText="1"/>
    </xf>
    <xf numFmtId="166" fontId="3" fillId="0" borderId="5" xfId="50" quotePrefix="1" applyNumberFormat="1" applyFont="1" applyFill="1" applyBorder="1" applyAlignment="1">
      <alignment vertical="top" wrapText="1"/>
    </xf>
    <xf numFmtId="166" fontId="3" fillId="0" borderId="5" xfId="50" applyNumberFormat="1" applyFont="1" applyFill="1" applyBorder="1" applyAlignment="1">
      <alignment vertical="top" wrapText="1"/>
    </xf>
    <xf numFmtId="166" fontId="3" fillId="0" borderId="12" xfId="30" applyFont="1" applyFill="1" applyBorder="1" applyAlignment="1">
      <alignment vertical="top" wrapText="1"/>
    </xf>
    <xf numFmtId="166" fontId="3" fillId="0" borderId="1" xfId="30" quotePrefix="1" applyFont="1" applyFill="1" applyBorder="1" applyAlignment="1">
      <alignment vertical="top" wrapText="1"/>
    </xf>
    <xf numFmtId="166" fontId="3" fillId="0" borderId="3" xfId="30" applyFont="1" applyFill="1" applyBorder="1" applyAlignment="1">
      <alignment vertical="top" wrapText="1"/>
    </xf>
    <xf numFmtId="166" fontId="3" fillId="0" borderId="4" xfId="30" applyFont="1" applyFill="1" applyBorder="1" applyAlignment="1">
      <alignment vertical="top" wrapText="1"/>
    </xf>
    <xf numFmtId="166" fontId="3" fillId="0" borderId="11" xfId="30" applyFont="1" applyFill="1" applyBorder="1" applyAlignment="1">
      <alignment vertical="top" wrapText="1"/>
    </xf>
    <xf numFmtId="166" fontId="3" fillId="0" borderId="5" xfId="30" applyFont="1" applyFill="1" applyBorder="1" applyAlignment="1">
      <alignment vertical="top" wrapText="1"/>
    </xf>
    <xf numFmtId="0" fontId="2" fillId="0" borderId="1" xfId="74" applyFont="1" applyFill="1" applyBorder="1" applyAlignment="1">
      <alignment horizontal="right" vertical="top" wrapText="1"/>
    </xf>
    <xf numFmtId="166" fontId="2" fillId="0" borderId="1" xfId="74" applyNumberFormat="1" applyFont="1" applyFill="1" applyBorder="1" applyAlignment="1">
      <alignment vertical="top" wrapText="1"/>
    </xf>
    <xf numFmtId="0" fontId="2" fillId="0" borderId="6" xfId="74" applyFont="1" applyFill="1" applyBorder="1" applyAlignment="1">
      <alignment vertical="top" wrapText="1"/>
    </xf>
    <xf numFmtId="0" fontId="3" fillId="0" borderId="1" xfId="74" applyFont="1" applyFill="1" applyBorder="1" applyAlignment="1">
      <alignment horizontal="left" vertical="top" wrapText="1"/>
    </xf>
    <xf numFmtId="166" fontId="2" fillId="0" borderId="6" xfId="30" applyFont="1" applyFill="1" applyBorder="1" applyAlignment="1">
      <alignment horizontal="right" vertical="top" wrapText="1"/>
    </xf>
    <xf numFmtId="0" fontId="3" fillId="0" borderId="27" xfId="74" applyFont="1" applyFill="1" applyBorder="1" applyAlignment="1">
      <alignment wrapText="1"/>
    </xf>
    <xf numFmtId="49" fontId="3" fillId="0" borderId="27" xfId="74" applyNumberFormat="1" applyFont="1" applyFill="1" applyBorder="1" applyAlignment="1">
      <alignment vertical="center" wrapText="1"/>
    </xf>
    <xf numFmtId="49" fontId="3" fillId="0" borderId="27" xfId="74" applyNumberFormat="1" applyFont="1" applyFill="1" applyBorder="1" applyAlignment="1">
      <alignment horizontal="center" vertical="center" wrapText="1"/>
    </xf>
    <xf numFmtId="49" fontId="3" fillId="0" borderId="27" xfId="74" applyNumberFormat="1" applyFont="1" applyFill="1" applyBorder="1" applyAlignment="1">
      <alignment horizontal="right" vertical="center" wrapText="1"/>
    </xf>
    <xf numFmtId="49" fontId="3" fillId="0" borderId="28" xfId="74" applyNumberFormat="1" applyFont="1" applyFill="1" applyBorder="1" applyAlignment="1">
      <alignment vertical="center" wrapText="1"/>
    </xf>
    <xf numFmtId="166" fontId="2" fillId="0" borderId="2" xfId="74" applyNumberFormat="1" applyFont="1" applyFill="1" applyBorder="1" applyAlignment="1">
      <alignment vertical="center" wrapText="1"/>
    </xf>
    <xf numFmtId="0" fontId="3" fillId="0" borderId="2" xfId="74" applyFont="1" applyFill="1" applyBorder="1" applyAlignment="1">
      <alignment wrapText="1"/>
    </xf>
    <xf numFmtId="166" fontId="3" fillId="0" borderId="22" xfId="74" applyNumberFormat="1" applyFont="1" applyFill="1" applyBorder="1" applyAlignment="1">
      <alignment vertical="center" wrapText="1"/>
    </xf>
    <xf numFmtId="0" fontId="3" fillId="0" borderId="1" xfId="64" applyFont="1" applyFill="1" applyBorder="1" applyAlignment="1">
      <alignment horizontal="left" vertical="top" wrapText="1"/>
    </xf>
    <xf numFmtId="0" fontId="2" fillId="0" borderId="1" xfId="64" applyFont="1" applyFill="1" applyBorder="1" applyAlignment="1">
      <alignment vertical="top" wrapText="1"/>
    </xf>
    <xf numFmtId="0" fontId="2" fillId="0" borderId="1" xfId="64" applyFont="1" applyFill="1" applyBorder="1" applyAlignment="1">
      <alignment horizontal="center" vertical="top" wrapText="1"/>
    </xf>
    <xf numFmtId="0" fontId="2" fillId="0" borderId="1" xfId="64" applyFont="1" applyFill="1" applyBorder="1" applyAlignment="1">
      <alignment horizontal="right" vertical="top" wrapText="1"/>
    </xf>
    <xf numFmtId="166" fontId="2" fillId="0" borderId="1" xfId="31" applyFont="1" applyFill="1" applyBorder="1" applyAlignment="1">
      <alignment horizontal="right" vertical="top" wrapText="1"/>
    </xf>
    <xf numFmtId="166" fontId="2" fillId="0" borderId="1" xfId="31" quotePrefix="1" applyFont="1" applyFill="1" applyBorder="1" applyAlignment="1">
      <alignment horizontal="right" vertical="top" wrapText="1"/>
    </xf>
    <xf numFmtId="0" fontId="2" fillId="0" borderId="6" xfId="64" applyFont="1" applyFill="1" applyBorder="1" applyAlignment="1">
      <alignment vertical="top" wrapText="1"/>
    </xf>
    <xf numFmtId="0" fontId="3" fillId="0" borderId="3" xfId="64" applyFont="1" applyFill="1" applyBorder="1" applyAlignment="1">
      <alignment vertical="top" wrapText="1"/>
    </xf>
    <xf numFmtId="0" fontId="3" fillId="0" borderId="1" xfId="64" applyFont="1" applyFill="1" applyBorder="1" applyAlignment="1">
      <alignment vertical="top" wrapText="1"/>
    </xf>
    <xf numFmtId="0" fontId="3" fillId="0" borderId="1" xfId="64" applyFont="1" applyFill="1" applyBorder="1" applyAlignment="1">
      <alignment horizontal="center" vertical="top" wrapText="1"/>
    </xf>
    <xf numFmtId="166" fontId="3" fillId="0" borderId="1" xfId="31" applyFont="1" applyFill="1" applyBorder="1" applyAlignment="1">
      <alignment horizontal="right" vertical="top" wrapText="1"/>
    </xf>
    <xf numFmtId="166" fontId="3" fillId="0" borderId="3" xfId="31" applyFont="1" applyFill="1" applyBorder="1" applyAlignment="1">
      <alignment vertical="center" wrapText="1"/>
    </xf>
    <xf numFmtId="0" fontId="3" fillId="0" borderId="6" xfId="64" applyFont="1" applyFill="1" applyBorder="1" applyAlignment="1">
      <alignment vertical="top" wrapText="1"/>
    </xf>
    <xf numFmtId="0" fontId="3" fillId="0" borderId="4" xfId="64" applyFont="1" applyFill="1" applyBorder="1" applyAlignment="1">
      <alignment vertical="top" wrapText="1"/>
    </xf>
    <xf numFmtId="166" fontId="3" fillId="0" borderId="4" xfId="31" applyFont="1" applyFill="1" applyBorder="1" applyAlignment="1">
      <alignment vertical="center" wrapText="1"/>
    </xf>
    <xf numFmtId="166" fontId="3" fillId="0" borderId="0" xfId="31" applyFont="1" applyFill="1" applyAlignment="1">
      <alignment horizontal="right" vertical="top" wrapText="1"/>
    </xf>
    <xf numFmtId="0" fontId="3" fillId="0" borderId="5" xfId="64" applyFont="1" applyFill="1" applyBorder="1" applyAlignment="1">
      <alignment vertical="top" wrapText="1"/>
    </xf>
    <xf numFmtId="166" fontId="3" fillId="0" borderId="5" xfId="31" applyFont="1" applyFill="1" applyBorder="1" applyAlignment="1">
      <alignment vertical="center" wrapText="1"/>
    </xf>
    <xf numFmtId="0" fontId="2" fillId="0" borderId="1" xfId="64" applyFont="1" applyFill="1" applyBorder="1" applyAlignment="1">
      <alignment horizontal="center" vertical="top"/>
    </xf>
    <xf numFmtId="172" fontId="2" fillId="0" borderId="1" xfId="31" applyNumberFormat="1" applyFont="1" applyFill="1" applyBorder="1" applyAlignment="1">
      <alignment horizontal="right" vertical="top"/>
    </xf>
    <xf numFmtId="172" fontId="2" fillId="0" borderId="1" xfId="31" applyNumberFormat="1" applyFont="1" applyFill="1" applyBorder="1" applyAlignment="1">
      <alignment vertical="top"/>
    </xf>
    <xf numFmtId="166" fontId="2" fillId="0" borderId="0" xfId="64" applyNumberFormat="1" applyFont="1" applyFill="1" applyAlignment="1">
      <alignment vertical="top" wrapText="1"/>
    </xf>
    <xf numFmtId="172" fontId="2" fillId="0" borderId="7" xfId="64" applyNumberFormat="1" applyFont="1" applyFill="1" applyBorder="1" applyAlignment="1">
      <alignment horizontal="right" vertical="top"/>
    </xf>
    <xf numFmtId="0" fontId="3" fillId="0" borderId="1" xfId="64" applyFont="1" applyFill="1" applyBorder="1" applyAlignment="1">
      <alignment horizontal="right" vertical="top" wrapText="1"/>
    </xf>
    <xf numFmtId="0" fontId="2" fillId="0" borderId="5" xfId="64" applyFont="1" applyFill="1" applyBorder="1" applyAlignment="1">
      <alignment vertical="top" wrapText="1"/>
    </xf>
    <xf numFmtId="166" fontId="2" fillId="0" borderId="1" xfId="64" applyNumberFormat="1" applyFont="1" applyFill="1" applyBorder="1" applyAlignment="1">
      <alignment vertical="top" wrapText="1"/>
    </xf>
    <xf numFmtId="0" fontId="2" fillId="0" borderId="4" xfId="64" applyFont="1" applyFill="1" applyBorder="1" applyAlignment="1">
      <alignment vertical="top" wrapText="1"/>
    </xf>
    <xf numFmtId="0" fontId="3" fillId="0" borderId="5" xfId="64" applyFont="1" applyFill="1" applyBorder="1" applyAlignment="1">
      <alignment horizontal="center" vertical="top" wrapText="1"/>
    </xf>
    <xf numFmtId="0" fontId="3" fillId="0" borderId="5" xfId="64" applyFont="1" applyFill="1" applyBorder="1" applyAlignment="1">
      <alignment horizontal="right" vertical="top" wrapText="1"/>
    </xf>
    <xf numFmtId="166" fontId="3" fillId="0" borderId="5" xfId="31" applyFont="1" applyFill="1" applyBorder="1" applyAlignment="1">
      <alignment horizontal="right" vertical="top" wrapText="1"/>
    </xf>
    <xf numFmtId="0" fontId="3" fillId="0" borderId="6" xfId="64" applyFont="1" applyFill="1" applyBorder="1" applyAlignment="1">
      <alignment horizontal="center" vertical="top" wrapText="1"/>
    </xf>
    <xf numFmtId="166" fontId="3" fillId="0" borderId="3" xfId="31" applyFont="1" applyFill="1" applyBorder="1" applyAlignment="1">
      <alignment vertical="top" wrapText="1"/>
    </xf>
    <xf numFmtId="166" fontId="3" fillId="0" borderId="5" xfId="31" applyFont="1" applyFill="1" applyBorder="1" applyAlignment="1">
      <alignment vertical="top" wrapText="1"/>
    </xf>
    <xf numFmtId="0" fontId="3" fillId="0" borderId="4" xfId="64" applyFont="1" applyFill="1" applyBorder="1" applyAlignment="1">
      <alignment horizontal="left" vertical="top" wrapText="1"/>
    </xf>
    <xf numFmtId="0" fontId="2" fillId="0" borderId="3" xfId="64" applyFont="1" applyFill="1" applyBorder="1" applyAlignment="1">
      <alignment horizontal="center" vertical="top"/>
    </xf>
    <xf numFmtId="166" fontId="2" fillId="0" borderId="3" xfId="31" applyNumberFormat="1" applyFont="1" applyFill="1" applyBorder="1" applyAlignment="1">
      <alignment vertical="top"/>
    </xf>
    <xf numFmtId="166" fontId="2" fillId="0" borderId="13" xfId="31" applyNumberFormat="1" applyFont="1" applyFill="1" applyBorder="1" applyAlignment="1">
      <alignment vertical="top"/>
    </xf>
    <xf numFmtId="0" fontId="2" fillId="0" borderId="5" xfId="64" applyFont="1" applyFill="1" applyBorder="1" applyAlignment="1">
      <alignment horizontal="center" vertical="top" wrapText="1"/>
    </xf>
    <xf numFmtId="166" fontId="2" fillId="0" borderId="10" xfId="64" applyNumberFormat="1" applyFont="1" applyFill="1" applyBorder="1" applyAlignment="1">
      <alignment vertical="top" wrapText="1"/>
    </xf>
    <xf numFmtId="172" fontId="2" fillId="0" borderId="22" xfId="31" applyNumberFormat="1" applyFont="1" applyFill="1" applyBorder="1" applyAlignment="1">
      <alignment vertical="top"/>
    </xf>
    <xf numFmtId="0" fontId="3" fillId="0" borderId="9" xfId="64" applyFont="1" applyFill="1" applyBorder="1" applyAlignment="1">
      <alignment horizontal="left" vertical="top" wrapText="1"/>
    </xf>
    <xf numFmtId="0" fontId="2" fillId="0" borderId="5" xfId="64" quotePrefix="1" applyFont="1" applyFill="1" applyBorder="1" applyAlignment="1">
      <alignment horizontal="right" vertical="top" wrapText="1"/>
    </xf>
    <xf numFmtId="166" fontId="2" fillId="0" borderId="5" xfId="31" applyFont="1" applyFill="1" applyBorder="1" applyAlignment="1">
      <alignment horizontal="right" vertical="top" wrapText="1"/>
    </xf>
    <xf numFmtId="0" fontId="2" fillId="0" borderId="12" xfId="64" applyFont="1" applyFill="1" applyBorder="1" applyAlignment="1">
      <alignment horizontal="center" vertical="top" wrapText="1"/>
    </xf>
    <xf numFmtId="0" fontId="2" fillId="0" borderId="6" xfId="64" applyFont="1" applyFill="1" applyBorder="1" applyAlignment="1">
      <alignment horizontal="center" vertical="top" wrapText="1"/>
    </xf>
    <xf numFmtId="166" fontId="3" fillId="0" borderId="1" xfId="31" quotePrefix="1" applyFont="1" applyFill="1" applyBorder="1" applyAlignment="1">
      <alignment horizontal="right" vertical="top" wrapText="1"/>
    </xf>
    <xf numFmtId="0" fontId="3" fillId="0" borderId="24" xfId="64" applyFont="1" applyFill="1" applyBorder="1" applyAlignment="1">
      <alignment horizontal="center" vertical="top" wrapText="1"/>
    </xf>
    <xf numFmtId="0" fontId="3" fillId="0" borderId="2" xfId="64" applyFont="1" applyFill="1" applyBorder="1" applyAlignment="1">
      <alignment vertical="top" wrapText="1"/>
    </xf>
    <xf numFmtId="0" fontId="3" fillId="0" borderId="2" xfId="64" applyFont="1" applyFill="1" applyBorder="1" applyAlignment="1">
      <alignment horizontal="center" vertical="top" wrapText="1"/>
    </xf>
    <xf numFmtId="0" fontId="3" fillId="0" borderId="2" xfId="64" applyFont="1" applyFill="1" applyBorder="1" applyAlignment="1">
      <alignment horizontal="right" vertical="top" wrapText="1"/>
    </xf>
    <xf numFmtId="166" fontId="3" fillId="0" borderId="2" xfId="31" applyFont="1" applyFill="1" applyBorder="1" applyAlignment="1">
      <alignment horizontal="right" vertical="top" wrapText="1"/>
    </xf>
    <xf numFmtId="166" fontId="2" fillId="0" borderId="2" xfId="31" applyFont="1" applyFill="1" applyBorder="1" applyAlignment="1">
      <alignment horizontal="right" vertical="top" wrapText="1"/>
    </xf>
    <xf numFmtId="0" fontId="3" fillId="0" borderId="22" xfId="64" applyFont="1" applyFill="1" applyBorder="1" applyAlignment="1">
      <alignment vertical="top" wrapText="1"/>
    </xf>
    <xf numFmtId="0" fontId="3" fillId="0" borderId="0" xfId="0" applyFont="1" applyFill="1"/>
    <xf numFmtId="0" fontId="3" fillId="0" borderId="0" xfId="0" applyFont="1" applyFill="1" applyAlignment="1">
      <alignment horizontal="right"/>
    </xf>
    <xf numFmtId="166" fontId="3" fillId="0" borderId="0" xfId="0" applyNumberFormat="1" applyFont="1" applyFill="1"/>
    <xf numFmtId="166" fontId="42" fillId="0" borderId="1" xfId="0" applyNumberFormat="1" applyFont="1" applyFill="1" applyBorder="1" applyAlignment="1">
      <alignment horizontal="right" vertical="top"/>
    </xf>
    <xf numFmtId="0" fontId="3" fillId="0" borderId="29" xfId="65" applyFont="1" applyFill="1" applyBorder="1"/>
    <xf numFmtId="0" fontId="3" fillId="0" borderId="30" xfId="65" applyFont="1" applyFill="1" applyBorder="1"/>
    <xf numFmtId="0" fontId="3" fillId="0" borderId="31" xfId="71" applyFont="1" applyFill="1" applyBorder="1" applyAlignment="1">
      <alignment horizontal="left" vertical="top" wrapText="1"/>
    </xf>
    <xf numFmtId="0" fontId="3" fillId="0" borderId="31" xfId="71" applyFont="1" applyFill="1" applyBorder="1" applyAlignment="1"/>
    <xf numFmtId="0" fontId="2" fillId="0" borderId="32" xfId="71" applyFont="1" applyFill="1" applyBorder="1" applyAlignment="1">
      <alignment vertical="top" wrapText="1"/>
    </xf>
    <xf numFmtId="176" fontId="2" fillId="0" borderId="32" xfId="47" applyNumberFormat="1" applyFont="1" applyFill="1" applyBorder="1" applyAlignment="1">
      <alignment vertical="top"/>
    </xf>
    <xf numFmtId="0" fontId="2" fillId="0" borderId="33" xfId="71" applyFont="1" applyFill="1" applyBorder="1" applyAlignment="1">
      <alignment vertical="top"/>
    </xf>
    <xf numFmtId="0" fontId="2" fillId="0" borderId="34" xfId="71" applyFont="1" applyFill="1" applyBorder="1" applyAlignment="1">
      <alignment vertical="top"/>
    </xf>
    <xf numFmtId="0" fontId="2" fillId="0" borderId="32" xfId="71" applyFont="1" applyFill="1" applyBorder="1" applyAlignment="1">
      <alignment horizontal="left" vertical="top" wrapText="1"/>
    </xf>
    <xf numFmtId="0" fontId="2" fillId="0" borderId="32" xfId="71" applyFont="1" applyFill="1" applyBorder="1" applyAlignment="1">
      <alignment horizontal="center" vertical="top" wrapText="1"/>
    </xf>
    <xf numFmtId="167" fontId="2" fillId="0" borderId="32" xfId="47" applyNumberFormat="1" applyFont="1" applyFill="1" applyBorder="1" applyAlignment="1">
      <alignment horizontal="right" vertical="top" wrapText="1"/>
    </xf>
    <xf numFmtId="167" fontId="2" fillId="0" borderId="32" xfId="47" applyNumberFormat="1" applyFont="1" applyFill="1" applyBorder="1" applyAlignment="1">
      <alignment horizontal="right" vertical="top"/>
    </xf>
    <xf numFmtId="0" fontId="3" fillId="0" borderId="34" xfId="71" applyFont="1" applyFill="1" applyBorder="1" applyAlignment="1">
      <alignment vertical="top"/>
    </xf>
    <xf numFmtId="0" fontId="3" fillId="0" borderId="31" xfId="71" applyFont="1" applyFill="1" applyBorder="1" applyAlignment="1">
      <alignment vertical="top" wrapText="1"/>
    </xf>
    <xf numFmtId="0" fontId="3" fillId="0" borderId="35" xfId="71" applyFont="1" applyFill="1" applyBorder="1" applyAlignment="1">
      <alignment vertical="top" wrapText="1"/>
    </xf>
    <xf numFmtId="0" fontId="3" fillId="0" borderId="32" xfId="71" applyFont="1" applyFill="1" applyBorder="1" applyAlignment="1">
      <alignment horizontal="left" vertical="top" wrapText="1"/>
    </xf>
    <xf numFmtId="0" fontId="3" fillId="0" borderId="32" xfId="71" applyFont="1" applyFill="1" applyBorder="1" applyAlignment="1">
      <alignment horizontal="center" vertical="top" wrapText="1"/>
    </xf>
    <xf numFmtId="170" fontId="3" fillId="0" borderId="32" xfId="47" applyNumberFormat="1" applyFont="1" applyFill="1" applyBorder="1" applyAlignment="1">
      <alignment horizontal="right" vertical="top" wrapText="1"/>
    </xf>
    <xf numFmtId="170" fontId="3" fillId="0" borderId="35" xfId="47" applyNumberFormat="1" applyFont="1" applyFill="1" applyBorder="1" applyAlignment="1">
      <alignment vertical="top" wrapText="1"/>
    </xf>
    <xf numFmtId="170" fontId="3" fillId="0" borderId="35" xfId="47" applyNumberFormat="1" applyFont="1" applyFill="1" applyBorder="1" applyAlignment="1">
      <alignment vertical="top"/>
    </xf>
    <xf numFmtId="170" fontId="3" fillId="0" borderId="32" xfId="47" applyNumberFormat="1" applyFont="1" applyFill="1" applyBorder="1" applyAlignment="1">
      <alignment horizontal="right" vertical="top"/>
    </xf>
    <xf numFmtId="0" fontId="3" fillId="0" borderId="25" xfId="71" applyFont="1" applyFill="1" applyBorder="1" applyAlignment="1">
      <alignment vertical="top"/>
    </xf>
    <xf numFmtId="170" fontId="3" fillId="0" borderId="31" xfId="47" applyNumberFormat="1" applyFont="1" applyFill="1" applyBorder="1" applyAlignment="1">
      <alignment vertical="top" wrapText="1"/>
    </xf>
    <xf numFmtId="170" fontId="3" fillId="0" borderId="31" xfId="47" applyNumberFormat="1" applyFont="1" applyFill="1" applyBorder="1" applyAlignment="1">
      <alignment vertical="top"/>
    </xf>
    <xf numFmtId="0" fontId="3" fillId="0" borderId="36" xfId="71" applyFont="1" applyFill="1" applyBorder="1" applyAlignment="1">
      <alignment vertical="top" wrapText="1"/>
    </xf>
    <xf numFmtId="0" fontId="3" fillId="0" borderId="32" xfId="71" applyFont="1" applyFill="1" applyBorder="1" applyAlignment="1">
      <alignment vertical="top" wrapText="1"/>
    </xf>
    <xf numFmtId="170" fontId="3" fillId="0" borderId="32" xfId="71" applyNumberFormat="1" applyFont="1" applyFill="1" applyBorder="1" applyAlignment="1">
      <alignment horizontal="right" vertical="top"/>
    </xf>
    <xf numFmtId="0" fontId="3" fillId="0" borderId="32" xfId="71" applyFont="1" applyFill="1" applyBorder="1" applyAlignment="1">
      <alignment vertical="top"/>
    </xf>
    <xf numFmtId="170" fontId="3" fillId="0" borderId="36" xfId="47" applyNumberFormat="1" applyFont="1" applyFill="1" applyBorder="1" applyAlignment="1">
      <alignment vertical="top" wrapText="1"/>
    </xf>
    <xf numFmtId="0" fontId="3" fillId="0" borderId="0" xfId="71" applyFont="1" applyFill="1" applyAlignment="1">
      <alignment vertical="top"/>
    </xf>
    <xf numFmtId="170" fontId="3" fillId="0" borderId="36" xfId="47" applyNumberFormat="1" applyFont="1" applyFill="1" applyBorder="1" applyAlignment="1">
      <alignment vertical="top"/>
    </xf>
    <xf numFmtId="170" fontId="3" fillId="0" borderId="35" xfId="47" applyNumberFormat="1" applyFont="1" applyFill="1" applyBorder="1" applyAlignment="1">
      <alignment horizontal="right" vertical="top" wrapText="1"/>
    </xf>
    <xf numFmtId="0" fontId="3" fillId="0" borderId="32" xfId="71" quotePrefix="1" applyFont="1" applyFill="1" applyBorder="1" applyAlignment="1">
      <alignment horizontal="left" vertical="top" wrapText="1"/>
    </xf>
    <xf numFmtId="170" fontId="3" fillId="0" borderId="32" xfId="71" applyNumberFormat="1" applyFont="1" applyFill="1" applyBorder="1" applyAlignment="1">
      <alignment horizontal="right" vertical="top" wrapText="1"/>
    </xf>
    <xf numFmtId="170" fontId="3" fillId="0" borderId="32" xfId="47" applyNumberFormat="1" applyFont="1" applyFill="1" applyBorder="1" applyAlignment="1">
      <alignment vertical="top" wrapText="1"/>
    </xf>
    <xf numFmtId="170" fontId="3" fillId="0" borderId="32" xfId="81" applyNumberFormat="1" applyFont="1" applyFill="1" applyBorder="1" applyAlignment="1">
      <alignment horizontal="right" vertical="top" wrapText="1"/>
    </xf>
    <xf numFmtId="0" fontId="3" fillId="0" borderId="37" xfId="71" applyFont="1" applyFill="1" applyBorder="1" applyAlignment="1">
      <alignment vertical="top"/>
    </xf>
    <xf numFmtId="0" fontId="3" fillId="0" borderId="38" xfId="71" applyFont="1" applyFill="1" applyBorder="1" applyAlignment="1">
      <alignment vertical="top"/>
    </xf>
    <xf numFmtId="0" fontId="2" fillId="0" borderId="39" xfId="71" applyFont="1" applyFill="1" applyBorder="1" applyAlignment="1">
      <alignment vertical="top" wrapText="1"/>
    </xf>
    <xf numFmtId="2" fontId="2" fillId="0" borderId="32" xfId="71" applyNumberFormat="1" applyFont="1" applyFill="1" applyBorder="1" applyAlignment="1">
      <alignment horizontal="center" vertical="top" wrapText="1"/>
    </xf>
    <xf numFmtId="170" fontId="2" fillId="0" borderId="32" xfId="47" applyNumberFormat="1" applyFont="1" applyFill="1" applyBorder="1" applyAlignment="1">
      <alignment horizontal="right" vertical="top"/>
    </xf>
    <xf numFmtId="0" fontId="2" fillId="0" borderId="25" xfId="71" applyFont="1" applyFill="1" applyBorder="1" applyAlignment="1">
      <alignment vertical="top"/>
    </xf>
    <xf numFmtId="0" fontId="2" fillId="0" borderId="40" xfId="71" applyFont="1" applyFill="1" applyBorder="1" applyAlignment="1">
      <alignment vertical="top" wrapText="1"/>
    </xf>
    <xf numFmtId="0" fontId="2" fillId="0" borderId="32" xfId="71" applyFont="1" applyFill="1" applyBorder="1" applyAlignment="1">
      <alignment horizontal="right" vertical="top" wrapText="1"/>
    </xf>
    <xf numFmtId="170" fontId="2" fillId="0" borderId="31" xfId="71" applyNumberFormat="1" applyFont="1" applyFill="1" applyBorder="1" applyAlignment="1">
      <alignment vertical="top"/>
    </xf>
    <xf numFmtId="0" fontId="2" fillId="0" borderId="41" xfId="71" applyFont="1" applyFill="1" applyBorder="1" applyAlignment="1">
      <alignment vertical="top" wrapText="1"/>
    </xf>
    <xf numFmtId="0" fontId="2" fillId="0" borderId="42" xfId="71" applyFont="1" applyFill="1" applyBorder="1" applyAlignment="1">
      <alignment vertical="top" wrapText="1"/>
    </xf>
    <xf numFmtId="170" fontId="3" fillId="0" borderId="32" xfId="71" applyNumberFormat="1" applyFont="1" applyFill="1" applyBorder="1" applyAlignment="1">
      <alignment vertical="top" wrapText="1"/>
    </xf>
    <xf numFmtId="170" fontId="3" fillId="0" borderId="32" xfId="51" applyNumberFormat="1" applyFont="1" applyFill="1" applyBorder="1" applyAlignment="1">
      <alignment vertical="top" wrapText="1"/>
    </xf>
    <xf numFmtId="170" fontId="3" fillId="0" borderId="32" xfId="71" applyNumberFormat="1" applyFont="1" applyFill="1" applyBorder="1" applyAlignment="1">
      <alignment vertical="top"/>
    </xf>
    <xf numFmtId="170" fontId="3" fillId="0" borderId="32" xfId="71" applyNumberFormat="1" applyFont="1" applyFill="1" applyBorder="1" applyAlignment="1">
      <alignment horizontal="center" vertical="top" wrapText="1"/>
    </xf>
    <xf numFmtId="170" fontId="3" fillId="0" borderId="35" xfId="51" applyNumberFormat="1" applyFont="1" applyFill="1" applyBorder="1" applyAlignment="1">
      <alignment vertical="top"/>
    </xf>
    <xf numFmtId="170" fontId="3" fillId="0" borderId="35" xfId="71" applyNumberFormat="1" applyFont="1" applyFill="1" applyBorder="1" applyAlignment="1">
      <alignment vertical="top"/>
    </xf>
    <xf numFmtId="170" fontId="3" fillId="0" borderId="32" xfId="71" applyNumberFormat="1" applyFont="1" applyFill="1" applyBorder="1" applyAlignment="1">
      <alignment horizontal="center" vertical="top"/>
    </xf>
    <xf numFmtId="170" fontId="3" fillId="0" borderId="36" xfId="51" applyNumberFormat="1" applyFont="1" applyFill="1" applyBorder="1" applyAlignment="1">
      <alignment vertical="top"/>
    </xf>
    <xf numFmtId="170" fontId="3" fillId="0" borderId="36" xfId="71" applyNumberFormat="1" applyFont="1" applyFill="1" applyBorder="1" applyAlignment="1">
      <alignment vertical="top"/>
    </xf>
    <xf numFmtId="0" fontId="2" fillId="0" borderId="35" xfId="71" applyFont="1" applyFill="1" applyBorder="1" applyAlignment="1">
      <alignment vertical="top" wrapText="1"/>
    </xf>
    <xf numFmtId="167" fontId="2" fillId="0" borderId="32" xfId="71" applyNumberFormat="1" applyFont="1" applyFill="1" applyBorder="1" applyAlignment="1">
      <alignment horizontal="right" vertical="top" wrapText="1"/>
    </xf>
    <xf numFmtId="167" fontId="2" fillId="0" borderId="32" xfId="71" applyNumberFormat="1" applyFont="1" applyFill="1" applyBorder="1" applyAlignment="1">
      <alignment vertical="top" wrapText="1"/>
    </xf>
    <xf numFmtId="170" fontId="2" fillId="0" borderId="35" xfId="71" applyNumberFormat="1" applyFont="1" applyFill="1" applyBorder="1" applyAlignment="1">
      <alignment vertical="top" wrapText="1"/>
    </xf>
    <xf numFmtId="2" fontId="2" fillId="0" borderId="32" xfId="71" applyNumberFormat="1" applyFont="1" applyFill="1" applyBorder="1" applyAlignment="1">
      <alignment horizontal="center" vertical="top"/>
    </xf>
    <xf numFmtId="170" fontId="2" fillId="0" borderId="32" xfId="71" applyNumberFormat="1" applyFont="1" applyFill="1" applyBorder="1" applyAlignment="1">
      <alignment horizontal="right" vertical="top" wrapText="1"/>
    </xf>
    <xf numFmtId="170" fontId="2" fillId="0" borderId="32" xfId="71" applyNumberFormat="1" applyFont="1" applyFill="1" applyBorder="1" applyAlignment="1">
      <alignment vertical="top" wrapText="1"/>
    </xf>
    <xf numFmtId="170" fontId="2" fillId="0" borderId="32" xfId="71" applyNumberFormat="1" applyFont="1" applyFill="1" applyBorder="1" applyAlignment="1">
      <alignment vertical="top"/>
    </xf>
    <xf numFmtId="170" fontId="3" fillId="0" borderId="35" xfId="51" applyNumberFormat="1" applyFont="1" applyFill="1" applyBorder="1" applyAlignment="1">
      <alignment vertical="top" wrapText="1"/>
    </xf>
    <xf numFmtId="170" fontId="3" fillId="0" borderId="32" xfId="51" applyNumberFormat="1" applyFont="1" applyFill="1" applyBorder="1" applyAlignment="1">
      <alignment vertical="top"/>
    </xf>
    <xf numFmtId="170" fontId="3" fillId="0" borderId="36" xfId="51" applyNumberFormat="1" applyFont="1" applyFill="1" applyBorder="1" applyAlignment="1">
      <alignment vertical="top" wrapText="1"/>
    </xf>
    <xf numFmtId="170" fontId="3" fillId="0" borderId="32" xfId="71" applyNumberFormat="1" applyFont="1" applyFill="1" applyBorder="1" applyAlignment="1">
      <alignment horizontal="left" vertical="top" wrapText="1"/>
    </xf>
    <xf numFmtId="0" fontId="2" fillId="0" borderId="31" xfId="71" applyFont="1" applyFill="1" applyBorder="1" applyAlignment="1"/>
    <xf numFmtId="172" fontId="2" fillId="0" borderId="32" xfId="39" applyNumberFormat="1" applyFont="1" applyFill="1" applyBorder="1" applyAlignment="1">
      <alignment horizontal="right" vertical="top"/>
    </xf>
    <xf numFmtId="172" fontId="2" fillId="0" borderId="32" xfId="39" applyNumberFormat="1" applyFont="1" applyFill="1" applyBorder="1" applyAlignment="1">
      <alignment vertical="top"/>
    </xf>
    <xf numFmtId="167" fontId="2" fillId="0" borderId="32" xfId="47" applyFont="1" applyFill="1" applyBorder="1" applyAlignment="1">
      <alignment horizontal="right" vertical="top"/>
    </xf>
    <xf numFmtId="170" fontId="3" fillId="0" borderId="31" xfId="51" applyNumberFormat="1" applyFont="1" applyFill="1" applyBorder="1" applyAlignment="1">
      <alignment vertical="top" wrapText="1"/>
    </xf>
    <xf numFmtId="170" fontId="3" fillId="0" borderId="31" xfId="71" applyNumberFormat="1" applyFont="1" applyFill="1" applyBorder="1" applyAlignment="1">
      <alignment vertical="top"/>
    </xf>
    <xf numFmtId="0" fontId="3" fillId="0" borderId="0" xfId="71" applyFont="1" applyFill="1" applyAlignment="1">
      <alignment vertical="top" wrapText="1"/>
    </xf>
    <xf numFmtId="0" fontId="3" fillId="0" borderId="36" xfId="71" applyFont="1" applyFill="1" applyBorder="1" applyAlignment="1">
      <alignment horizontal="left" vertical="top" wrapText="1"/>
    </xf>
    <xf numFmtId="170" fontId="3" fillId="0" borderId="32" xfId="51" applyNumberFormat="1" applyFont="1" applyFill="1" applyBorder="1" applyAlignment="1">
      <alignment horizontal="center" vertical="top" wrapText="1"/>
    </xf>
    <xf numFmtId="0" fontId="2" fillId="0" borderId="31" xfId="71" applyFont="1" applyFill="1" applyBorder="1" applyAlignment="1">
      <alignment vertical="top" wrapText="1"/>
    </xf>
    <xf numFmtId="170" fontId="2" fillId="0" borderId="35" xfId="51" applyNumberFormat="1" applyFont="1" applyFill="1" applyBorder="1" applyAlignment="1">
      <alignment vertical="top" wrapText="1"/>
    </xf>
    <xf numFmtId="0" fontId="2" fillId="0" borderId="31" xfId="71" applyFont="1" applyFill="1" applyBorder="1" applyAlignment="1">
      <alignment horizontal="left" vertical="top" wrapText="1"/>
    </xf>
    <xf numFmtId="170" fontId="2" fillId="0" borderId="43" xfId="51" applyNumberFormat="1" applyFont="1" applyFill="1" applyBorder="1" applyAlignment="1">
      <alignment vertical="top" wrapText="1"/>
    </xf>
    <xf numFmtId="170" fontId="2" fillId="0" borderId="44" xfId="51" applyNumberFormat="1" applyFont="1" applyFill="1" applyBorder="1" applyAlignment="1">
      <alignment vertical="top" wrapText="1"/>
    </xf>
    <xf numFmtId="170" fontId="2" fillId="0" borderId="31" xfId="51" applyNumberFormat="1" applyFont="1" applyFill="1" applyBorder="1" applyAlignment="1">
      <alignment vertical="top" wrapText="1"/>
    </xf>
    <xf numFmtId="170" fontId="2" fillId="0" borderId="32" xfId="47" applyNumberFormat="1" applyFont="1" applyFill="1" applyBorder="1" applyAlignment="1">
      <alignment vertical="top"/>
    </xf>
    <xf numFmtId="0" fontId="2" fillId="0" borderId="31" xfId="71" applyFont="1" applyFill="1" applyBorder="1" applyAlignment="1">
      <alignment vertical="top"/>
    </xf>
    <xf numFmtId="0" fontId="3" fillId="0" borderId="36" xfId="71" applyFont="1" applyFill="1" applyBorder="1" applyAlignment="1">
      <alignment vertical="top"/>
    </xf>
    <xf numFmtId="167" fontId="2" fillId="0" borderId="32" xfId="71" applyNumberFormat="1" applyFont="1" applyFill="1" applyBorder="1" applyAlignment="1">
      <alignment horizontal="right" vertical="top"/>
    </xf>
    <xf numFmtId="170" fontId="2" fillId="0" borderId="32" xfId="47" applyNumberFormat="1" applyFont="1" applyFill="1" applyBorder="1" applyAlignment="1">
      <alignment horizontal="right" vertical="top" wrapText="1"/>
    </xf>
    <xf numFmtId="0" fontId="2" fillId="0" borderId="25" xfId="71" applyFont="1" applyFill="1" applyBorder="1" applyAlignment="1">
      <alignment vertical="top" wrapText="1"/>
    </xf>
    <xf numFmtId="167" fontId="2" fillId="0" borderId="32" xfId="47" applyFont="1" applyFill="1" applyBorder="1" applyAlignment="1">
      <alignment horizontal="right" vertical="top" wrapText="1"/>
    </xf>
    <xf numFmtId="0" fontId="3" fillId="0" borderId="32" xfId="71" applyFont="1" applyFill="1" applyBorder="1" applyAlignment="1">
      <alignment horizontal="center" vertical="top"/>
    </xf>
    <xf numFmtId="0" fontId="3" fillId="0" borderId="32" xfId="71" applyFont="1" applyFill="1" applyBorder="1" applyAlignment="1">
      <alignment horizontal="right" vertical="top"/>
    </xf>
    <xf numFmtId="170" fontId="3" fillId="0" borderId="31" xfId="47" applyNumberFormat="1" applyFont="1" applyFill="1" applyBorder="1" applyAlignment="1">
      <alignment horizontal="right" vertical="top"/>
    </xf>
    <xf numFmtId="170" fontId="3" fillId="0" borderId="31" xfId="47" applyNumberFormat="1" applyFont="1" applyFill="1" applyBorder="1" applyAlignment="1">
      <alignment horizontal="right" vertical="top" wrapText="1"/>
    </xf>
    <xf numFmtId="166" fontId="2" fillId="0" borderId="32" xfId="39" applyFont="1" applyFill="1" applyBorder="1" applyAlignment="1">
      <alignment horizontal="right" vertical="top" wrapText="1"/>
    </xf>
    <xf numFmtId="170" fontId="3" fillId="0" borderId="32" xfId="51" applyNumberFormat="1" applyFont="1" applyFill="1" applyBorder="1" applyAlignment="1">
      <alignment horizontal="right" vertical="top" wrapText="1"/>
    </xf>
    <xf numFmtId="170" fontId="2" fillId="0" borderId="32" xfId="71" applyNumberFormat="1" applyFont="1" applyFill="1" applyBorder="1" applyAlignment="1">
      <alignment horizontal="left" vertical="top" wrapText="1"/>
    </xf>
    <xf numFmtId="170" fontId="2" fillId="0" borderId="32" xfId="59" applyNumberFormat="1" applyFont="1" applyFill="1" applyBorder="1" applyAlignment="1">
      <alignment horizontal="left" vertical="top" wrapText="1"/>
    </xf>
    <xf numFmtId="0" fontId="3" fillId="0" borderId="45" xfId="71" applyFont="1" applyFill="1" applyBorder="1" applyAlignment="1">
      <alignment vertical="top"/>
    </xf>
    <xf numFmtId="0" fontId="3" fillId="0" borderId="46" xfId="71" applyFont="1" applyFill="1" applyBorder="1" applyAlignment="1">
      <alignment vertical="top" wrapText="1"/>
    </xf>
    <xf numFmtId="0" fontId="3" fillId="0" borderId="47" xfId="71" applyFont="1" applyFill="1" applyBorder="1" applyAlignment="1">
      <alignment vertical="top" wrapText="1"/>
    </xf>
    <xf numFmtId="0" fontId="3" fillId="0" borderId="48" xfId="71" applyFont="1" applyFill="1" applyBorder="1" applyAlignment="1">
      <alignment vertical="top" wrapText="1"/>
    </xf>
    <xf numFmtId="0" fontId="3" fillId="0" borderId="49" xfId="71" applyFont="1" applyFill="1" applyBorder="1" applyAlignment="1">
      <alignment vertical="top" wrapText="1"/>
    </xf>
    <xf numFmtId="0" fontId="3" fillId="0" borderId="49" xfId="71" applyFont="1" applyFill="1" applyBorder="1" applyAlignment="1">
      <alignment horizontal="center" vertical="top" wrapText="1"/>
    </xf>
    <xf numFmtId="170" fontId="3" fillId="0" borderId="49" xfId="71" applyNumberFormat="1" applyFont="1" applyFill="1" applyBorder="1" applyAlignment="1">
      <alignment horizontal="right" vertical="top" wrapText="1"/>
    </xf>
    <xf numFmtId="170" fontId="3" fillId="0" borderId="49" xfId="71" applyNumberFormat="1" applyFont="1" applyFill="1" applyBorder="1" applyAlignment="1">
      <alignment vertical="top" wrapText="1"/>
    </xf>
    <xf numFmtId="170" fontId="2" fillId="0" borderId="49" xfId="51" applyNumberFormat="1" applyFont="1" applyFill="1" applyBorder="1" applyAlignment="1">
      <alignment vertical="top" wrapText="1"/>
    </xf>
    <xf numFmtId="170" fontId="3" fillId="0" borderId="49" xfId="71" applyNumberFormat="1" applyFont="1" applyFill="1" applyBorder="1" applyAlignment="1">
      <alignment vertical="top"/>
    </xf>
    <xf numFmtId="170" fontId="3" fillId="0" borderId="49" xfId="47" applyNumberFormat="1" applyFont="1" applyFill="1" applyBorder="1" applyAlignment="1">
      <alignment horizontal="right" vertical="top"/>
    </xf>
    <xf numFmtId="0" fontId="3" fillId="0" borderId="50" xfId="71" applyFont="1" applyFill="1" applyBorder="1" applyAlignment="1">
      <alignment vertical="top"/>
    </xf>
    <xf numFmtId="0" fontId="3" fillId="0" borderId="0" xfId="72" applyFont="1" applyFill="1"/>
    <xf numFmtId="170" fontId="2" fillId="0" borderId="16" xfId="0" applyNumberFormat="1" applyFont="1" applyFill="1" applyBorder="1" applyAlignment="1">
      <alignment vertical="top"/>
    </xf>
    <xf numFmtId="0" fontId="3" fillId="0" borderId="4" xfId="64" applyFont="1" applyFill="1" applyBorder="1" applyAlignment="1"/>
    <xf numFmtId="0" fontId="2" fillId="0" borderId="4" xfId="64" applyFont="1" applyFill="1" applyBorder="1" applyAlignment="1"/>
    <xf numFmtId="166" fontId="2" fillId="0" borderId="3" xfId="31" applyNumberFormat="1" applyFont="1" applyFill="1" applyBorder="1" applyAlignment="1">
      <alignment horizontal="right" vertical="top"/>
    </xf>
    <xf numFmtId="170" fontId="2" fillId="0" borderId="51" xfId="47" applyNumberFormat="1" applyFont="1" applyFill="1" applyBorder="1" applyAlignment="1">
      <alignment vertical="top" wrapText="1"/>
    </xf>
    <xf numFmtId="170" fontId="2" fillId="0" borderId="31" xfId="47" applyNumberFormat="1" applyFont="1" applyFill="1" applyBorder="1" applyAlignment="1">
      <alignment vertical="top" wrapText="1"/>
    </xf>
    <xf numFmtId="0" fontId="2" fillId="0" borderId="4" xfId="72" applyFont="1" applyFill="1" applyBorder="1" applyAlignment="1">
      <alignment horizontal="left" vertical="top" wrapText="1"/>
    </xf>
    <xf numFmtId="170" fontId="3" fillId="0" borderId="0" xfId="0" applyNumberFormat="1" applyFont="1" applyFill="1"/>
    <xf numFmtId="0" fontId="3" fillId="0" borderId="1" xfId="0" applyFont="1" applyFill="1" applyBorder="1"/>
    <xf numFmtId="166" fontId="2" fillId="0" borderId="1" xfId="73" applyNumberFormat="1" applyFont="1" applyFill="1" applyBorder="1" applyAlignment="1">
      <alignment horizontal="right" vertical="top" wrapText="1"/>
    </xf>
    <xf numFmtId="166" fontId="2" fillId="0" borderId="0" xfId="41" applyNumberFormat="1" applyFont="1" applyFill="1" applyBorder="1" applyAlignment="1">
      <alignment horizontal="right" vertical="top" wrapText="1"/>
    </xf>
    <xf numFmtId="166" fontId="2" fillId="0" borderId="2" xfId="0" applyNumberFormat="1" applyFont="1" applyFill="1" applyBorder="1"/>
    <xf numFmtId="170" fontId="3" fillId="0" borderId="0" xfId="48" applyNumberFormat="1" applyFont="1" applyFill="1" applyBorder="1" applyAlignment="1">
      <alignment vertical="center"/>
    </xf>
    <xf numFmtId="166" fontId="3" fillId="0" borderId="16" xfId="38" applyFont="1" applyFill="1" applyBorder="1" applyAlignment="1">
      <alignment horizontal="left" vertical="top" wrapText="1"/>
    </xf>
    <xf numFmtId="166" fontId="3" fillId="0" borderId="13" xfId="38" applyFont="1" applyFill="1" applyBorder="1" applyAlignment="1">
      <alignment horizontal="center" vertical="top" wrapText="1"/>
    </xf>
    <xf numFmtId="166" fontId="2" fillId="0" borderId="1" xfId="38" applyNumberFormat="1" applyFont="1" applyFill="1" applyBorder="1" applyAlignment="1">
      <alignment horizontal="right" vertical="top"/>
    </xf>
    <xf numFmtId="166" fontId="2" fillId="0" borderId="1" xfId="38" applyNumberFormat="1" applyFont="1" applyFill="1" applyBorder="1" applyAlignment="1">
      <alignment vertical="top"/>
    </xf>
    <xf numFmtId="166" fontId="2" fillId="0" borderId="52" xfId="0" applyNumberFormat="1" applyFont="1" applyFill="1" applyBorder="1" applyAlignment="1">
      <alignment vertical="top"/>
    </xf>
    <xf numFmtId="0" fontId="2" fillId="0" borderId="27" xfId="69" applyFont="1" applyFill="1" applyBorder="1" applyAlignment="1">
      <alignment vertical="center" wrapText="1"/>
    </xf>
    <xf numFmtId="0" fontId="2" fillId="0" borderId="28" xfId="69" applyFont="1" applyFill="1" applyBorder="1" applyAlignment="1">
      <alignment vertical="center" wrapText="1"/>
    </xf>
    <xf numFmtId="0" fontId="3" fillId="34" borderId="4" xfId="0" applyFont="1" applyFill="1" applyBorder="1" applyAlignment="1">
      <alignment horizontal="left" vertical="top" wrapText="1"/>
    </xf>
    <xf numFmtId="166" fontId="2" fillId="34" borderId="1" xfId="29" applyFont="1" applyFill="1" applyBorder="1" applyAlignment="1">
      <alignment horizontal="right" vertical="top" wrapText="1"/>
    </xf>
    <xf numFmtId="166" fontId="2" fillId="34" borderId="1" xfId="29" applyFont="1" applyFill="1" applyBorder="1" applyAlignment="1">
      <alignment horizontal="center" vertical="top" wrapText="1"/>
    </xf>
    <xf numFmtId="0" fontId="3" fillId="34" borderId="1" xfId="0" applyFont="1" applyFill="1" applyBorder="1" applyAlignment="1">
      <alignment horizontal="left" vertical="top" wrapText="1"/>
    </xf>
    <xf numFmtId="0" fontId="3" fillId="0" borderId="3" xfId="64" applyFont="1" applyFill="1" applyBorder="1" applyAlignment="1">
      <alignment horizontal="left" vertical="top" wrapText="1"/>
    </xf>
    <xf numFmtId="0" fontId="3" fillId="0" borderId="53" xfId="64" applyFont="1" applyFill="1" applyBorder="1" applyAlignment="1">
      <alignment horizontal="left" vertical="top" wrapText="1"/>
    </xf>
    <xf numFmtId="0" fontId="3" fillId="34" borderId="3" xfId="0" applyFont="1" applyFill="1" applyBorder="1" applyAlignment="1">
      <alignment vertical="top" wrapText="1"/>
    </xf>
    <xf numFmtId="0" fontId="3" fillId="34" borderId="4" xfId="0" applyFont="1" applyFill="1" applyBorder="1" applyAlignment="1">
      <alignment vertical="top" wrapText="1"/>
    </xf>
    <xf numFmtId="0" fontId="3" fillId="34" borderId="5" xfId="0" applyFont="1" applyFill="1" applyBorder="1" applyAlignment="1">
      <alignment vertical="top" wrapText="1"/>
    </xf>
    <xf numFmtId="0" fontId="3" fillId="34" borderId="5" xfId="0" applyFont="1" applyFill="1" applyBorder="1" applyAlignment="1">
      <alignment horizontal="left" vertical="top" wrapText="1"/>
    </xf>
    <xf numFmtId="0" fontId="3" fillId="34" borderId="23" xfId="0" applyFont="1" applyFill="1" applyBorder="1" applyAlignment="1">
      <alignment horizontal="left" vertical="top" wrapText="1"/>
    </xf>
    <xf numFmtId="0" fontId="19" fillId="34" borderId="1" xfId="0" applyFont="1" applyFill="1" applyBorder="1" applyAlignment="1">
      <alignment horizontal="center" vertical="top" wrapText="1"/>
    </xf>
    <xf numFmtId="0" fontId="3" fillId="34" borderId="4" xfId="74" applyFont="1" applyFill="1" applyBorder="1" applyAlignment="1">
      <alignment vertical="top" wrapText="1"/>
    </xf>
    <xf numFmtId="0" fontId="3" fillId="34" borderId="1" xfId="74" applyFont="1" applyFill="1" applyBorder="1" applyAlignment="1">
      <alignment vertical="top" wrapText="1"/>
    </xf>
    <xf numFmtId="0" fontId="3" fillId="34" borderId="5" xfId="74" applyFont="1" applyFill="1" applyBorder="1" applyAlignment="1">
      <alignment vertical="top" wrapText="1"/>
    </xf>
    <xf numFmtId="0" fontId="3" fillId="34" borderId="4" xfId="74" applyFont="1" applyFill="1" applyBorder="1" applyAlignment="1"/>
    <xf numFmtId="0" fontId="3" fillId="0" borderId="5" xfId="74" applyFont="1" applyFill="1" applyBorder="1" applyAlignment="1">
      <alignment horizontal="center" vertical="top" wrapText="1"/>
    </xf>
    <xf numFmtId="166" fontId="3" fillId="0" borderId="5" xfId="30" applyFont="1" applyFill="1" applyBorder="1" applyAlignment="1">
      <alignment horizontal="right" vertical="top" wrapText="1"/>
    </xf>
    <xf numFmtId="0" fontId="2" fillId="34" borderId="1" xfId="0" applyFont="1" applyFill="1" applyBorder="1" applyAlignment="1">
      <alignment vertical="top" wrapText="1"/>
    </xf>
    <xf numFmtId="0" fontId="2" fillId="34" borderId="1" xfId="0" applyFont="1" applyFill="1" applyBorder="1" applyAlignment="1">
      <alignment horizontal="center" vertical="top" wrapText="1"/>
    </xf>
    <xf numFmtId="0" fontId="3" fillId="0" borderId="3" xfId="74" applyFont="1" applyFill="1" applyBorder="1" applyAlignment="1">
      <alignment vertical="top" wrapText="1"/>
    </xf>
    <xf numFmtId="0" fontId="3" fillId="34" borderId="3" xfId="74" applyFont="1" applyFill="1" applyBorder="1" applyAlignment="1">
      <alignment vertical="top" wrapText="1"/>
    </xf>
    <xf numFmtId="0" fontId="3" fillId="0" borderId="9" xfId="74" applyFont="1" applyFill="1" applyBorder="1" applyAlignment="1">
      <alignment vertical="top" wrapText="1"/>
    </xf>
    <xf numFmtId="166" fontId="3" fillId="0" borderId="10" xfId="31" applyFont="1" applyFill="1" applyBorder="1" applyAlignment="1">
      <alignment horizontal="right" vertical="top" wrapText="1"/>
    </xf>
    <xf numFmtId="166" fontId="3" fillId="0" borderId="16" xfId="31" applyFont="1" applyFill="1" applyBorder="1" applyAlignment="1">
      <alignment horizontal="right" vertical="top" wrapText="1"/>
    </xf>
    <xf numFmtId="0" fontId="3" fillId="0" borderId="1" xfId="64" applyFont="1" applyFill="1" applyBorder="1" applyAlignment="1"/>
    <xf numFmtId="172" fontId="2" fillId="34" borderId="1" xfId="29" applyNumberFormat="1" applyFont="1" applyFill="1" applyBorder="1" applyAlignment="1">
      <alignment horizontal="right" vertical="top" wrapText="1"/>
    </xf>
    <xf numFmtId="166" fontId="2" fillId="34" borderId="1" xfId="29" applyFont="1" applyFill="1" applyBorder="1" applyAlignment="1">
      <alignment horizontal="right" vertical="top" wrapText="1"/>
    </xf>
    <xf numFmtId="0" fontId="2" fillId="34" borderId="1" xfId="0" applyFont="1" applyFill="1" applyBorder="1" applyAlignment="1">
      <alignment horizontal="center" vertical="top" wrapText="1"/>
    </xf>
    <xf numFmtId="0" fontId="2" fillId="34" borderId="0" xfId="0" applyFont="1" applyFill="1" applyBorder="1" applyAlignment="1">
      <alignment vertical="top" wrapText="1"/>
    </xf>
    <xf numFmtId="0" fontId="2" fillId="34" borderId="0" xfId="0" quotePrefix="1" applyFont="1" applyFill="1" applyBorder="1" applyAlignment="1">
      <alignment vertical="top"/>
    </xf>
    <xf numFmtId="0" fontId="2" fillId="34" borderId="0" xfId="0" quotePrefix="1" applyFont="1" applyFill="1" applyBorder="1" applyAlignment="1">
      <alignment vertical="top" wrapText="1"/>
    </xf>
    <xf numFmtId="0" fontId="2" fillId="34" borderId="0" xfId="0" applyFont="1" applyFill="1" applyBorder="1" applyAlignment="1">
      <alignment horizontal="center" vertical="top" wrapText="1"/>
    </xf>
    <xf numFmtId="2" fontId="2" fillId="34" borderId="0" xfId="0" applyNumberFormat="1" applyFont="1" applyFill="1" applyBorder="1" applyAlignment="1">
      <alignment vertical="top" wrapText="1"/>
    </xf>
    <xf numFmtId="2" fontId="2" fillId="34" borderId="0" xfId="0" applyNumberFormat="1" applyFont="1" applyFill="1" applyBorder="1" applyAlignment="1">
      <alignment horizontal="right" vertical="top" wrapText="1"/>
    </xf>
    <xf numFmtId="4" fontId="2" fillId="34" borderId="0" xfId="0" applyNumberFormat="1" applyFont="1" applyFill="1" applyBorder="1" applyAlignment="1">
      <alignment vertical="top" wrapText="1"/>
    </xf>
    <xf numFmtId="0" fontId="3" fillId="34" borderId="1" xfId="0" applyFont="1" applyFill="1" applyBorder="1" applyAlignment="1">
      <alignment horizontal="justify" vertical="top" wrapText="1"/>
    </xf>
    <xf numFmtId="0" fontId="2" fillId="34" borderId="0" xfId="0" applyFont="1" applyFill="1" applyAlignment="1">
      <alignment horizontal="left" vertical="top"/>
    </xf>
    <xf numFmtId="0" fontId="2" fillId="34" borderId="0" xfId="0" applyFont="1" applyFill="1" applyAlignment="1">
      <alignment horizontal="centerContinuous" vertical="top"/>
    </xf>
    <xf numFmtId="2" fontId="3" fillId="34" borderId="1" xfId="0" applyNumberFormat="1" applyFont="1" applyFill="1" applyBorder="1" applyAlignment="1">
      <alignment horizontal="right" vertical="top" wrapText="1"/>
    </xf>
    <xf numFmtId="2" fontId="2" fillId="34" borderId="1" xfId="0" applyNumberFormat="1" applyFont="1" applyFill="1" applyBorder="1" applyAlignment="1">
      <alignment horizontal="right" vertical="top" wrapText="1"/>
    </xf>
    <xf numFmtId="166" fontId="2" fillId="34" borderId="1" xfId="29" applyNumberFormat="1" applyFont="1" applyFill="1" applyBorder="1" applyAlignment="1">
      <alignment horizontal="right" vertical="top" wrapText="1"/>
    </xf>
    <xf numFmtId="0" fontId="2" fillId="34" borderId="1" xfId="68" applyFont="1" applyFill="1" applyBorder="1" applyAlignment="1">
      <alignment vertical="top" wrapText="1"/>
    </xf>
    <xf numFmtId="0" fontId="2" fillId="34" borderId="1" xfId="68" applyFont="1" applyFill="1" applyBorder="1" applyAlignment="1">
      <alignment horizontal="center" vertical="top" wrapText="1"/>
    </xf>
    <xf numFmtId="2" fontId="2" fillId="34" borderId="1" xfId="68" applyNumberFormat="1" applyFont="1" applyFill="1" applyBorder="1" applyAlignment="1">
      <alignment vertical="top" wrapText="1"/>
    </xf>
    <xf numFmtId="166" fontId="2" fillId="34" borderId="1" xfId="68" applyNumberFormat="1" applyFont="1" applyFill="1" applyBorder="1" applyAlignment="1">
      <alignment vertical="top" wrapText="1"/>
    </xf>
    <xf numFmtId="4" fontId="2" fillId="34" borderId="1" xfId="68" applyNumberFormat="1" applyFont="1" applyFill="1" applyBorder="1" applyAlignment="1">
      <alignment vertical="top" wrapText="1"/>
    </xf>
    <xf numFmtId="166" fontId="2" fillId="34" borderId="1" xfId="35" applyFont="1" applyFill="1" applyBorder="1" applyAlignment="1">
      <alignment horizontal="right" vertical="top" wrapText="1"/>
    </xf>
    <xf numFmtId="166" fontId="2" fillId="34" borderId="54" xfId="35" applyFont="1" applyFill="1" applyBorder="1" applyAlignment="1">
      <alignment horizontal="center" vertical="top" wrapText="1"/>
    </xf>
    <xf numFmtId="0" fontId="2" fillId="34" borderId="4" xfId="68" applyFont="1" applyFill="1" applyBorder="1" applyAlignment="1">
      <alignment vertical="top" wrapText="1"/>
    </xf>
    <xf numFmtId="2" fontId="2" fillId="34" borderId="1" xfId="35" applyNumberFormat="1" applyFont="1" applyFill="1" applyBorder="1" applyAlignment="1">
      <alignment horizontal="right" vertical="top" wrapText="1"/>
    </xf>
    <xf numFmtId="166" fontId="2" fillId="34" borderId="1" xfId="35" applyNumberFormat="1" applyFont="1" applyFill="1" applyBorder="1" applyAlignment="1">
      <alignment horizontal="right" vertical="top" wrapText="1"/>
    </xf>
    <xf numFmtId="4" fontId="2" fillId="34" borderId="1" xfId="35" applyNumberFormat="1" applyFont="1" applyFill="1" applyBorder="1" applyAlignment="1">
      <alignment horizontal="right" vertical="top" wrapText="1"/>
    </xf>
    <xf numFmtId="0" fontId="3" fillId="34" borderId="4" xfId="68" applyFont="1" applyFill="1" applyBorder="1" applyAlignment="1">
      <alignment vertical="top" wrapText="1"/>
    </xf>
    <xf numFmtId="0" fontId="3" fillId="34" borderId="1" xfId="68" applyFont="1" applyFill="1" applyBorder="1" applyAlignment="1">
      <alignment vertical="top" wrapText="1"/>
    </xf>
    <xf numFmtId="0" fontId="3" fillId="34" borderId="1" xfId="68" applyFont="1" applyFill="1" applyBorder="1" applyAlignment="1">
      <alignment horizontal="left" vertical="top" wrapText="1"/>
    </xf>
    <xf numFmtId="0" fontId="3" fillId="34" borderId="1" xfId="68" applyFont="1" applyFill="1" applyBorder="1" applyAlignment="1">
      <alignment horizontal="center" vertical="top" wrapText="1"/>
    </xf>
    <xf numFmtId="2" fontId="3" fillId="34" borderId="1" xfId="35" applyNumberFormat="1" applyFont="1" applyFill="1" applyBorder="1" applyAlignment="1">
      <alignment horizontal="right" vertical="top" wrapText="1"/>
    </xf>
    <xf numFmtId="166" fontId="3" fillId="34" borderId="1" xfId="35" applyNumberFormat="1" applyFont="1" applyFill="1" applyBorder="1" applyAlignment="1">
      <alignment horizontal="right" vertical="top" wrapText="1"/>
    </xf>
    <xf numFmtId="166" fontId="3" fillId="34" borderId="1" xfId="35" applyFont="1" applyFill="1" applyBorder="1" applyAlignment="1">
      <alignment horizontal="right" vertical="top" wrapText="1"/>
    </xf>
    <xf numFmtId="2" fontId="3" fillId="34" borderId="1" xfId="35" quotePrefix="1" applyNumberFormat="1" applyFont="1" applyFill="1" applyBorder="1" applyAlignment="1">
      <alignment horizontal="right" vertical="top" wrapText="1"/>
    </xf>
    <xf numFmtId="4" fontId="3" fillId="34" borderId="1" xfId="35" applyNumberFormat="1" applyFont="1" applyFill="1" applyBorder="1" applyAlignment="1">
      <alignment horizontal="right" vertical="top" wrapText="1"/>
    </xf>
    <xf numFmtId="0" fontId="2" fillId="34" borderId="1" xfId="68" applyFont="1" applyFill="1" applyBorder="1" applyAlignment="1">
      <alignment horizontal="left" vertical="top" wrapText="1"/>
    </xf>
    <xf numFmtId="0" fontId="3" fillId="34" borderId="5" xfId="68" applyFont="1" applyFill="1" applyBorder="1" applyAlignment="1">
      <alignment vertical="top" wrapText="1"/>
    </xf>
    <xf numFmtId="0" fontId="9" fillId="34" borderId="4" xfId="68" applyFont="1" applyFill="1" applyBorder="1" applyAlignment="1">
      <alignment vertical="top" wrapText="1"/>
    </xf>
    <xf numFmtId="0" fontId="3" fillId="34" borderId="1" xfId="43" applyNumberFormat="1" applyFont="1" applyFill="1" applyBorder="1" applyAlignment="1">
      <alignment vertical="top" wrapText="1"/>
    </xf>
    <xf numFmtId="0" fontId="3" fillId="34" borderId="3" xfId="68" applyFont="1" applyFill="1" applyBorder="1" applyAlignment="1">
      <alignment vertical="top" wrapText="1"/>
    </xf>
    <xf numFmtId="0" fontId="3" fillId="34" borderId="3" xfId="68" applyFont="1" applyFill="1" applyBorder="1" applyAlignment="1">
      <alignment horizontal="left" vertical="top" wrapText="1"/>
    </xf>
    <xf numFmtId="0" fontId="3" fillId="34" borderId="3" xfId="68" applyFont="1" applyFill="1" applyBorder="1" applyAlignment="1">
      <alignment horizontal="center" vertical="top" wrapText="1"/>
    </xf>
    <xf numFmtId="2" fontId="3" fillId="34" borderId="3" xfId="35" applyNumberFormat="1" applyFont="1" applyFill="1" applyBorder="1" applyAlignment="1">
      <alignment horizontal="right" vertical="top" wrapText="1"/>
    </xf>
    <xf numFmtId="166" fontId="3" fillId="34" borderId="3" xfId="35" applyNumberFormat="1" applyFont="1" applyFill="1" applyBorder="1" applyAlignment="1">
      <alignment vertical="center" wrapText="1"/>
    </xf>
    <xf numFmtId="166" fontId="3" fillId="34" borderId="3" xfId="35" applyFont="1" applyFill="1" applyBorder="1" applyAlignment="1">
      <alignment vertical="center" wrapText="1"/>
    </xf>
    <xf numFmtId="4" fontId="2" fillId="34" borderId="3" xfId="35" applyNumberFormat="1" applyFont="1" applyFill="1" applyBorder="1" applyAlignment="1">
      <alignment horizontal="right" vertical="top" wrapText="1"/>
    </xf>
    <xf numFmtId="0" fontId="3" fillId="34" borderId="4" xfId="68" applyFont="1" applyFill="1" applyBorder="1" applyAlignment="1">
      <alignment horizontal="left" vertical="top" wrapText="1"/>
    </xf>
    <xf numFmtId="0" fontId="3" fillId="34" borderId="4" xfId="68" applyFont="1" applyFill="1" applyBorder="1" applyAlignment="1">
      <alignment horizontal="center" vertical="top" wrapText="1"/>
    </xf>
    <xf numFmtId="2" fontId="3" fillId="34" borderId="4" xfId="35" applyNumberFormat="1" applyFont="1" applyFill="1" applyBorder="1" applyAlignment="1">
      <alignment horizontal="right" vertical="top" wrapText="1"/>
    </xf>
    <xf numFmtId="166" fontId="3" fillId="34" borderId="4" xfId="35" applyNumberFormat="1" applyFont="1" applyFill="1" applyBorder="1" applyAlignment="1">
      <alignment vertical="center" wrapText="1"/>
    </xf>
    <xf numFmtId="166" fontId="3" fillId="34" borderId="4" xfId="35" applyFont="1" applyFill="1" applyBorder="1" applyAlignment="1">
      <alignment vertical="center" wrapText="1"/>
    </xf>
    <xf numFmtId="4" fontId="2" fillId="34" borderId="4" xfId="35" applyNumberFormat="1" applyFont="1" applyFill="1" applyBorder="1" applyAlignment="1">
      <alignment horizontal="right" vertical="top" wrapText="1"/>
    </xf>
    <xf numFmtId="0" fontId="3" fillId="34" borderId="5" xfId="68" applyFont="1" applyFill="1" applyBorder="1" applyAlignment="1">
      <alignment horizontal="left" vertical="top" wrapText="1"/>
    </xf>
    <xf numFmtId="0" fontId="3" fillId="34" borderId="5" xfId="68" applyFont="1" applyFill="1" applyBorder="1" applyAlignment="1">
      <alignment horizontal="center" vertical="top" wrapText="1"/>
    </xf>
    <xf numFmtId="2" fontId="3" fillId="34" borderId="5" xfId="35" applyNumberFormat="1" applyFont="1" applyFill="1" applyBorder="1" applyAlignment="1">
      <alignment horizontal="right" vertical="top" wrapText="1"/>
    </xf>
    <xf numFmtId="4" fontId="2" fillId="34" borderId="5" xfId="35" applyNumberFormat="1" applyFont="1" applyFill="1" applyBorder="1" applyAlignment="1">
      <alignment horizontal="right" vertical="top" wrapText="1"/>
    </xf>
    <xf numFmtId="166" fontId="3" fillId="34" borderId="5" xfId="35" applyNumberFormat="1" applyFont="1" applyFill="1" applyBorder="1" applyAlignment="1">
      <alignment vertical="center" wrapText="1"/>
    </xf>
    <xf numFmtId="166" fontId="3" fillId="34" borderId="5" xfId="35" applyFont="1" applyFill="1" applyBorder="1" applyAlignment="1">
      <alignment vertical="center" wrapText="1"/>
    </xf>
    <xf numFmtId="0" fontId="3" fillId="34" borderId="24" xfId="68" applyFont="1" applyFill="1" applyBorder="1" applyAlignment="1">
      <alignment vertical="top" wrapText="1"/>
    </xf>
    <xf numFmtId="0" fontId="3" fillId="34" borderId="2" xfId="68" applyFont="1" applyFill="1" applyBorder="1" applyAlignment="1">
      <alignment vertical="top" wrapText="1"/>
    </xf>
    <xf numFmtId="0" fontId="3" fillId="34" borderId="2" xfId="68" applyFont="1" applyFill="1" applyBorder="1" applyAlignment="1">
      <alignment horizontal="center" vertical="top" wrapText="1"/>
    </xf>
    <xf numFmtId="2" fontId="3" fillId="34" borderId="2" xfId="35" applyNumberFormat="1" applyFont="1" applyFill="1" applyBorder="1" applyAlignment="1">
      <alignment horizontal="right" vertical="top" wrapText="1"/>
    </xf>
    <xf numFmtId="4" fontId="3" fillId="34" borderId="2" xfId="35" applyNumberFormat="1" applyFont="1" applyFill="1" applyBorder="1" applyAlignment="1">
      <alignment horizontal="right" vertical="top" wrapText="1"/>
    </xf>
    <xf numFmtId="166" fontId="3" fillId="34" borderId="2" xfId="35" applyFont="1" applyFill="1" applyBorder="1" applyAlignment="1">
      <alignment horizontal="right" vertical="top" wrapText="1"/>
    </xf>
    <xf numFmtId="166" fontId="3" fillId="34" borderId="55" xfId="35" applyFont="1" applyFill="1" applyBorder="1" applyAlignment="1">
      <alignment horizontal="right" vertical="top" wrapText="1"/>
    </xf>
    <xf numFmtId="0" fontId="2" fillId="34" borderId="1" xfId="36" applyNumberFormat="1" applyFont="1" applyFill="1" applyBorder="1" applyAlignment="1">
      <alignment vertical="top" wrapText="1"/>
    </xf>
    <xf numFmtId="0" fontId="3" fillId="34" borderId="1" xfId="36" applyNumberFormat="1" applyFont="1" applyFill="1" applyBorder="1" applyAlignment="1">
      <alignment horizontal="left" vertical="top" wrapText="1"/>
    </xf>
    <xf numFmtId="0" fontId="3" fillId="34" borderId="1" xfId="36" applyNumberFormat="1" applyFont="1" applyFill="1" applyBorder="1" applyAlignment="1">
      <alignment vertical="top" wrapText="1"/>
    </xf>
    <xf numFmtId="0" fontId="3" fillId="34" borderId="1" xfId="36" applyNumberFormat="1" applyFont="1" applyFill="1" applyBorder="1" applyAlignment="1">
      <alignment horizontal="center" vertical="top" wrapText="1"/>
    </xf>
    <xf numFmtId="2" fontId="3" fillId="34" borderId="1" xfId="36" applyNumberFormat="1" applyFont="1" applyFill="1" applyBorder="1" applyAlignment="1">
      <alignment vertical="top"/>
    </xf>
    <xf numFmtId="166" fontId="3" fillId="34" borderId="1" xfId="36" applyFont="1" applyFill="1" applyBorder="1" applyAlignment="1">
      <alignment vertical="top"/>
    </xf>
    <xf numFmtId="0" fontId="3" fillId="34" borderId="7" xfId="69" applyFont="1" applyFill="1" applyBorder="1" applyAlignment="1">
      <alignment vertical="top"/>
    </xf>
    <xf numFmtId="2" fontId="3" fillId="34" borderId="1" xfId="36" applyNumberFormat="1" applyFont="1" applyFill="1" applyBorder="1" applyAlignment="1">
      <alignment vertical="top" wrapText="1"/>
    </xf>
    <xf numFmtId="166" fontId="3" fillId="34" borderId="1" xfId="36" applyFont="1" applyFill="1" applyBorder="1" applyAlignment="1">
      <alignment vertical="top" wrapText="1"/>
    </xf>
    <xf numFmtId="0" fontId="3" fillId="34" borderId="1" xfId="69" applyFont="1" applyFill="1" applyBorder="1" applyAlignment="1">
      <alignment vertical="top" wrapText="1"/>
    </xf>
    <xf numFmtId="0" fontId="2" fillId="34" borderId="1" xfId="36" applyNumberFormat="1" applyFont="1" applyFill="1" applyBorder="1" applyAlignment="1">
      <alignment horizontal="left" vertical="top" wrapText="1"/>
    </xf>
    <xf numFmtId="0" fontId="2" fillId="34" borderId="1" xfId="69" applyFont="1" applyFill="1" applyBorder="1" applyAlignment="1">
      <alignment vertical="top" wrapText="1"/>
    </xf>
    <xf numFmtId="0" fontId="2" fillId="34" borderId="4" xfId="69" applyFont="1" applyFill="1" applyBorder="1" applyAlignment="1">
      <alignment vertical="top" wrapText="1"/>
    </xf>
    <xf numFmtId="0" fontId="3" fillId="34" borderId="4" xfId="69" applyFont="1" applyFill="1" applyBorder="1" applyAlignment="1">
      <alignment vertical="top" wrapText="1"/>
    </xf>
    <xf numFmtId="166" fontId="3" fillId="34" borderId="1" xfId="36" applyFont="1" applyFill="1" applyBorder="1" applyAlignment="1">
      <alignment horizontal="right" vertical="top" wrapText="1"/>
    </xf>
    <xf numFmtId="0" fontId="3" fillId="34" borderId="5" xfId="69" applyFont="1" applyFill="1" applyBorder="1" applyAlignment="1">
      <alignment vertical="top" wrapText="1"/>
    </xf>
    <xf numFmtId="0" fontId="2" fillId="34" borderId="1" xfId="65" applyFont="1" applyFill="1" applyBorder="1" applyAlignment="1">
      <alignment vertical="top" wrapText="1"/>
    </xf>
    <xf numFmtId="4" fontId="2" fillId="34" borderId="1" xfId="65" applyNumberFormat="1" applyFont="1" applyFill="1" applyBorder="1" applyAlignment="1">
      <alignment vertical="top" wrapText="1"/>
    </xf>
    <xf numFmtId="0" fontId="2" fillId="34" borderId="7" xfId="65" applyFont="1" applyFill="1" applyBorder="1" applyAlignment="1">
      <alignment horizontal="left" vertical="top" wrapText="1"/>
    </xf>
    <xf numFmtId="0" fontId="2" fillId="34" borderId="1" xfId="65" applyFont="1" applyFill="1" applyBorder="1" applyAlignment="1">
      <alignment horizontal="left" vertical="top" wrapText="1"/>
    </xf>
    <xf numFmtId="0" fontId="2" fillId="34" borderId="4" xfId="65" applyFont="1" applyFill="1" applyBorder="1" applyAlignment="1">
      <alignment vertical="top" wrapText="1"/>
    </xf>
    <xf numFmtId="0" fontId="2" fillId="34" borderId="1" xfId="65" applyFont="1" applyFill="1" applyBorder="1" applyAlignment="1">
      <alignment horizontal="center" vertical="top" wrapText="1"/>
    </xf>
    <xf numFmtId="2" fontId="2" fillId="34" borderId="1" xfId="65" applyNumberFormat="1" applyFont="1" applyFill="1" applyBorder="1" applyAlignment="1">
      <alignment horizontal="right" vertical="top"/>
    </xf>
    <xf numFmtId="2" fontId="2" fillId="34" borderId="1" xfId="65" applyNumberFormat="1" applyFont="1" applyFill="1" applyBorder="1" applyAlignment="1">
      <alignment horizontal="center" vertical="top"/>
    </xf>
    <xf numFmtId="166" fontId="2" fillId="34" borderId="1" xfId="65" applyNumberFormat="1" applyFont="1" applyFill="1" applyBorder="1" applyAlignment="1">
      <alignment vertical="top" wrapText="1"/>
    </xf>
    <xf numFmtId="4" fontId="2" fillId="34" borderId="1" xfId="65" applyNumberFormat="1" applyFont="1" applyFill="1" applyBorder="1" applyAlignment="1">
      <alignment horizontal="right" vertical="top" wrapText="1"/>
    </xf>
    <xf numFmtId="0" fontId="3" fillId="34" borderId="7" xfId="65" applyFont="1" applyFill="1" applyBorder="1" applyAlignment="1">
      <alignment horizontal="left" vertical="top" wrapText="1"/>
    </xf>
    <xf numFmtId="0" fontId="3" fillId="34" borderId="6" xfId="65" applyFont="1" applyFill="1" applyBorder="1" applyAlignment="1">
      <alignment horizontal="center" vertical="top" wrapText="1"/>
    </xf>
    <xf numFmtId="0" fontId="3" fillId="34" borderId="4" xfId="65" applyFont="1" applyFill="1" applyBorder="1" applyAlignment="1">
      <alignment vertical="top" wrapText="1"/>
    </xf>
    <xf numFmtId="0" fontId="3" fillId="34" borderId="1" xfId="65" applyFont="1" applyFill="1" applyBorder="1" applyAlignment="1">
      <alignment horizontal="left" vertical="top" wrapText="1"/>
    </xf>
    <xf numFmtId="0" fontId="3" fillId="34" borderId="1" xfId="65" applyFont="1" applyFill="1" applyBorder="1" applyAlignment="1">
      <alignment vertical="top" wrapText="1"/>
    </xf>
    <xf numFmtId="0" fontId="3" fillId="34" borderId="1" xfId="65" applyFont="1" applyFill="1" applyBorder="1" applyAlignment="1">
      <alignment horizontal="center" vertical="top" wrapText="1"/>
    </xf>
    <xf numFmtId="2" fontId="3" fillId="34" borderId="1" xfId="33" applyNumberFormat="1" applyFont="1" applyFill="1" applyBorder="1" applyAlignment="1">
      <alignment horizontal="left" vertical="top" wrapText="1"/>
    </xf>
    <xf numFmtId="2" fontId="3" fillId="34" borderId="1" xfId="33" applyNumberFormat="1" applyFont="1" applyFill="1" applyBorder="1" applyAlignment="1">
      <alignment vertical="top" wrapText="1"/>
    </xf>
    <xf numFmtId="166" fontId="3" fillId="34" borderId="1" xfId="33" applyFont="1" applyFill="1" applyBorder="1" applyAlignment="1">
      <alignment horizontal="left" vertical="top" wrapText="1"/>
    </xf>
    <xf numFmtId="4" fontId="3" fillId="34" borderId="1" xfId="65" applyNumberFormat="1" applyFont="1" applyFill="1" applyBorder="1" applyAlignment="1">
      <alignment horizontal="right" vertical="top" wrapText="1"/>
    </xf>
    <xf numFmtId="0" fontId="3" fillId="34" borderId="4" xfId="65" applyFont="1" applyFill="1" applyBorder="1" applyAlignment="1">
      <alignment horizontal="left" vertical="top" wrapText="1"/>
    </xf>
    <xf numFmtId="2" fontId="3" fillId="34" borderId="1" xfId="33" quotePrefix="1" applyNumberFormat="1" applyFont="1" applyFill="1" applyBorder="1" applyAlignment="1">
      <alignment horizontal="left" vertical="top" wrapText="1"/>
    </xf>
    <xf numFmtId="166" fontId="3" fillId="34" borderId="1" xfId="33" quotePrefix="1" applyFont="1" applyFill="1" applyBorder="1" applyAlignment="1">
      <alignment horizontal="left" vertical="top" wrapText="1"/>
    </xf>
    <xf numFmtId="2" fontId="3" fillId="34" borderId="1" xfId="33" applyNumberFormat="1" applyFont="1" applyFill="1" applyBorder="1" applyAlignment="1">
      <alignment horizontal="center" vertical="top" wrapText="1"/>
    </xf>
    <xf numFmtId="2" fontId="3" fillId="34" borderId="1" xfId="65" applyNumberFormat="1" applyFont="1" applyFill="1" applyBorder="1" applyAlignment="1">
      <alignment horizontal="left" vertical="top" wrapText="1"/>
    </xf>
    <xf numFmtId="2" fontId="3" fillId="34" borderId="1" xfId="65" applyNumberFormat="1" applyFont="1" applyFill="1" applyBorder="1" applyAlignment="1">
      <alignment vertical="top" wrapText="1"/>
    </xf>
    <xf numFmtId="166" fontId="3" fillId="34" borderId="1" xfId="33" applyFont="1" applyFill="1" applyBorder="1" applyAlignment="1">
      <alignment horizontal="right" vertical="top" wrapText="1"/>
    </xf>
    <xf numFmtId="0" fontId="2" fillId="34" borderId="4" xfId="65" applyFont="1" applyFill="1" applyBorder="1" applyAlignment="1">
      <alignment horizontal="left" vertical="top" wrapText="1"/>
    </xf>
    <xf numFmtId="2" fontId="2" fillId="34" borderId="1" xfId="33" quotePrefix="1" applyNumberFormat="1" applyFont="1" applyFill="1" applyBorder="1" applyAlignment="1">
      <alignment horizontal="left" vertical="top" wrapText="1"/>
    </xf>
    <xf numFmtId="2" fontId="2" fillId="34" borderId="1" xfId="33" applyNumberFormat="1" applyFont="1" applyFill="1" applyBorder="1" applyAlignment="1">
      <alignment vertical="top" wrapText="1"/>
    </xf>
    <xf numFmtId="166" fontId="2" fillId="34" borderId="1" xfId="33" applyFont="1" applyFill="1" applyBorder="1" applyAlignment="1">
      <alignment horizontal="left" vertical="top" wrapText="1"/>
    </xf>
    <xf numFmtId="2" fontId="3" fillId="34" borderId="1" xfId="33" quotePrefix="1" applyNumberFormat="1" applyFont="1" applyFill="1" applyBorder="1" applyAlignment="1">
      <alignment vertical="top" wrapText="1"/>
    </xf>
    <xf numFmtId="166" fontId="3" fillId="34" borderId="1" xfId="33" applyNumberFormat="1" applyFont="1" applyFill="1" applyBorder="1" applyAlignment="1">
      <alignment horizontal="left" vertical="top" wrapText="1"/>
    </xf>
    <xf numFmtId="166" fontId="3" fillId="34" borderId="1" xfId="33" applyFont="1" applyFill="1" applyBorder="1" applyAlignment="1">
      <alignment vertical="top" wrapText="1"/>
    </xf>
    <xf numFmtId="0" fontId="16" fillId="34" borderId="1" xfId="65" applyFont="1" applyFill="1" applyBorder="1" applyAlignment="1">
      <alignment horizontal="left" vertical="top" wrapText="1"/>
    </xf>
    <xf numFmtId="2" fontId="2" fillId="34" borderId="1" xfId="33" applyNumberFormat="1" applyFont="1" applyFill="1" applyBorder="1" applyAlignment="1">
      <alignment horizontal="left" vertical="top" wrapText="1"/>
    </xf>
    <xf numFmtId="0" fontId="3" fillId="34" borderId="5" xfId="65" applyFont="1" applyFill="1" applyBorder="1" applyAlignment="1">
      <alignment horizontal="left" vertical="top" wrapText="1"/>
    </xf>
    <xf numFmtId="0" fontId="9" fillId="34" borderId="1" xfId="65" applyFont="1" applyFill="1" applyBorder="1" applyAlignment="1">
      <alignment vertical="top" wrapText="1"/>
    </xf>
    <xf numFmtId="0" fontId="6" fillId="34" borderId="1" xfId="65" applyFont="1" applyFill="1" applyBorder="1" applyAlignment="1">
      <alignment vertical="top" wrapText="1"/>
    </xf>
    <xf numFmtId="166" fontId="3" fillId="34" borderId="1" xfId="33" applyFont="1" applyFill="1" applyBorder="1" applyAlignment="1">
      <alignment horizontal="center" vertical="top" wrapText="1"/>
    </xf>
    <xf numFmtId="2" fontId="2" fillId="34" borderId="1" xfId="65" applyNumberFormat="1" applyFont="1" applyFill="1" applyBorder="1" applyAlignment="1">
      <alignment vertical="top" wrapText="1"/>
    </xf>
    <xf numFmtId="2" fontId="2" fillId="34" borderId="1" xfId="65" applyNumberFormat="1" applyFont="1" applyFill="1" applyBorder="1" applyAlignment="1">
      <alignment horizontal="right" vertical="top" wrapText="1"/>
    </xf>
    <xf numFmtId="166" fontId="2" fillId="34" borderId="1" xfId="65" applyNumberFormat="1" applyFont="1" applyFill="1" applyBorder="1" applyAlignment="1">
      <alignment horizontal="right" vertical="top" wrapText="1"/>
    </xf>
    <xf numFmtId="2" fontId="2" fillId="34" borderId="1" xfId="33" applyNumberFormat="1" applyFont="1" applyFill="1" applyBorder="1" applyAlignment="1">
      <alignment horizontal="right" vertical="top" wrapText="1"/>
    </xf>
    <xf numFmtId="2" fontId="3" fillId="34" borderId="1" xfId="65" applyNumberFormat="1" applyFont="1" applyFill="1" applyBorder="1" applyAlignment="1">
      <alignment horizontal="right" vertical="top" wrapText="1"/>
    </xf>
    <xf numFmtId="166" fontId="3" fillId="34" borderId="1" xfId="51" applyNumberFormat="1" applyFont="1" applyFill="1" applyBorder="1" applyAlignment="1">
      <alignment horizontal="right" vertical="top" wrapText="1"/>
    </xf>
    <xf numFmtId="165" fontId="3" fillId="34" borderId="1" xfId="51" applyNumberFormat="1" applyFont="1" applyFill="1" applyBorder="1" applyAlignment="1">
      <alignment horizontal="right" vertical="top" wrapText="1"/>
    </xf>
    <xf numFmtId="166" fontId="2" fillId="34" borderId="1" xfId="33" applyFont="1" applyFill="1" applyBorder="1" applyAlignment="1">
      <alignment horizontal="right" vertical="top" wrapText="1"/>
    </xf>
    <xf numFmtId="0" fontId="3" fillId="34" borderId="5" xfId="65" applyFont="1" applyFill="1" applyBorder="1" applyAlignment="1">
      <alignment vertical="top" wrapText="1"/>
    </xf>
    <xf numFmtId="2" fontId="3" fillId="34" borderId="1" xfId="33" applyNumberFormat="1" applyFont="1" applyFill="1" applyBorder="1" applyAlignment="1">
      <alignment horizontal="right" vertical="top" wrapText="1"/>
    </xf>
    <xf numFmtId="0" fontId="3" fillId="34" borderId="2" xfId="65" applyFont="1" applyFill="1" applyBorder="1" applyAlignment="1">
      <alignment vertical="top" wrapText="1"/>
    </xf>
    <xf numFmtId="0" fontId="3" fillId="34" borderId="2" xfId="65" applyFont="1" applyFill="1" applyBorder="1" applyAlignment="1">
      <alignment horizontal="center" vertical="top" wrapText="1"/>
    </xf>
    <xf numFmtId="2" fontId="3" fillId="34" borderId="2" xfId="33" applyNumberFormat="1" applyFont="1" applyFill="1" applyBorder="1" applyAlignment="1">
      <alignment horizontal="left" vertical="top" wrapText="1"/>
    </xf>
    <xf numFmtId="166" fontId="2" fillId="34" borderId="2" xfId="33" applyFont="1" applyFill="1" applyBorder="1" applyAlignment="1">
      <alignment horizontal="left" vertical="top" wrapText="1"/>
    </xf>
    <xf numFmtId="4" fontId="3" fillId="34" borderId="2" xfId="33" applyNumberFormat="1" applyFont="1" applyFill="1" applyBorder="1" applyAlignment="1">
      <alignment horizontal="left" vertical="top" wrapText="1"/>
    </xf>
    <xf numFmtId="0" fontId="3" fillId="34" borderId="8" xfId="65" applyFont="1" applyFill="1" applyBorder="1" applyAlignment="1">
      <alignment horizontal="left" vertical="top" wrapText="1"/>
    </xf>
    <xf numFmtId="0" fontId="3" fillId="34" borderId="22" xfId="65" applyFont="1" applyFill="1" applyBorder="1" applyAlignment="1">
      <alignment horizontal="left" vertical="top" wrapText="1"/>
    </xf>
    <xf numFmtId="2" fontId="3" fillId="34" borderId="1" xfId="0" applyNumberFormat="1" applyFont="1" applyFill="1" applyBorder="1" applyAlignment="1">
      <alignment horizontal="center" vertical="top" wrapText="1"/>
    </xf>
    <xf numFmtId="0" fontId="3" fillId="34" borderId="26" xfId="0" applyFont="1" applyFill="1" applyBorder="1" applyAlignment="1">
      <alignment vertical="top"/>
    </xf>
    <xf numFmtId="166" fontId="2" fillId="34" borderId="3" xfId="29" applyFont="1" applyFill="1" applyBorder="1" applyAlignment="1">
      <alignment vertical="top" wrapText="1"/>
    </xf>
    <xf numFmtId="4" fontId="2" fillId="34" borderId="1" xfId="29" applyNumberFormat="1" applyFont="1" applyFill="1" applyBorder="1" applyAlignment="1">
      <alignment horizontal="right" vertical="top" wrapText="1"/>
    </xf>
    <xf numFmtId="2" fontId="2" fillId="34" borderId="1" xfId="29" applyNumberFormat="1" applyFont="1" applyFill="1" applyBorder="1" applyAlignment="1">
      <alignment horizontal="right" vertical="top" wrapText="1"/>
    </xf>
    <xf numFmtId="166" fontId="3" fillId="34" borderId="13" xfId="29" applyFont="1" applyFill="1" applyBorder="1" applyAlignment="1">
      <alignment horizontal="center" vertical="top" wrapText="1"/>
    </xf>
    <xf numFmtId="166" fontId="2" fillId="34" borderId="5" xfId="29" applyFont="1" applyFill="1" applyBorder="1" applyAlignment="1">
      <alignment vertical="top" wrapText="1"/>
    </xf>
    <xf numFmtId="2" fontId="2" fillId="34" borderId="5" xfId="29" applyNumberFormat="1" applyFont="1" applyFill="1" applyBorder="1" applyAlignment="1">
      <alignment horizontal="right" vertical="top" wrapText="1"/>
    </xf>
    <xf numFmtId="4" fontId="2" fillId="34" borderId="5" xfId="29" applyNumberFormat="1" applyFont="1" applyFill="1" applyBorder="1" applyAlignment="1">
      <alignment horizontal="right" vertical="top" wrapText="1"/>
    </xf>
    <xf numFmtId="3" fontId="3" fillId="34" borderId="1" xfId="0" applyNumberFormat="1" applyFont="1" applyFill="1" applyBorder="1" applyAlignment="1">
      <alignment horizontal="right" vertical="top" wrapText="1"/>
    </xf>
    <xf numFmtId="4" fontId="3" fillId="34" borderId="1" xfId="29" applyNumberFormat="1" applyFont="1" applyFill="1" applyBorder="1" applyAlignment="1">
      <alignment horizontal="right" vertical="top" wrapText="1"/>
    </xf>
    <xf numFmtId="2" fontId="3" fillId="34" borderId="1" xfId="29" applyNumberFormat="1" applyFont="1" applyFill="1" applyBorder="1" applyAlignment="1">
      <alignment horizontal="right" vertical="top" wrapText="1"/>
    </xf>
    <xf numFmtId="2" fontId="2" fillId="34" borderId="1" xfId="0" applyNumberFormat="1" applyFont="1" applyFill="1" applyBorder="1" applyAlignment="1">
      <alignment horizontal="center" vertical="top" wrapText="1"/>
    </xf>
    <xf numFmtId="3" fontId="2" fillId="34" borderId="1" xfId="0" applyNumberFormat="1" applyFont="1" applyFill="1" applyBorder="1" applyAlignment="1">
      <alignment horizontal="right" vertical="top" wrapText="1"/>
    </xf>
    <xf numFmtId="3" fontId="3" fillId="34" borderId="3" xfId="0" applyNumberFormat="1" applyFont="1" applyFill="1" applyBorder="1" applyAlignment="1">
      <alignment vertical="top" wrapText="1"/>
    </xf>
    <xf numFmtId="3" fontId="3" fillId="34" borderId="4" xfId="0" applyNumberFormat="1" applyFont="1" applyFill="1" applyBorder="1" applyAlignment="1">
      <alignment vertical="top" wrapText="1"/>
    </xf>
    <xf numFmtId="3" fontId="3" fillId="34" borderId="5" xfId="0" applyNumberFormat="1" applyFont="1" applyFill="1" applyBorder="1" applyAlignment="1">
      <alignment vertical="top" wrapText="1"/>
    </xf>
    <xf numFmtId="2" fontId="2" fillId="34" borderId="1" xfId="40" applyNumberFormat="1" applyFont="1" applyFill="1" applyBorder="1" applyAlignment="1">
      <alignment vertical="top"/>
    </xf>
    <xf numFmtId="2" fontId="2" fillId="34" borderId="1" xfId="40" applyNumberFormat="1" applyFont="1" applyFill="1" applyBorder="1" applyAlignment="1">
      <alignment vertical="top" wrapText="1"/>
    </xf>
    <xf numFmtId="166" fontId="2" fillId="34" borderId="52" xfId="0" applyNumberFormat="1" applyFont="1" applyFill="1" applyBorder="1" applyAlignment="1">
      <alignment vertical="top"/>
    </xf>
    <xf numFmtId="2" fontId="2" fillId="34" borderId="1" xfId="0" applyNumberFormat="1" applyFont="1" applyFill="1" applyBorder="1" applyAlignment="1">
      <alignment vertical="top"/>
    </xf>
    <xf numFmtId="4" fontId="2" fillId="34" borderId="3" xfId="0" applyNumberFormat="1" applyFont="1" applyFill="1" applyBorder="1" applyAlignment="1">
      <alignment vertical="top"/>
    </xf>
    <xf numFmtId="0" fontId="2" fillId="34" borderId="4" xfId="0" applyFont="1" applyFill="1" applyBorder="1" applyAlignment="1">
      <alignment vertical="top"/>
    </xf>
    <xf numFmtId="166" fontId="2" fillId="34" borderId="5" xfId="29" applyFont="1" applyFill="1" applyBorder="1" applyAlignment="1">
      <alignment horizontal="right" vertical="top" wrapText="1"/>
    </xf>
    <xf numFmtId="2" fontId="3" fillId="34" borderId="1" xfId="29" quotePrefix="1" applyNumberFormat="1" applyFont="1" applyFill="1" applyBorder="1" applyAlignment="1">
      <alignment horizontal="right" vertical="top" wrapText="1"/>
    </xf>
    <xf numFmtId="166" fontId="3" fillId="34" borderId="3" xfId="29" applyFont="1" applyFill="1" applyBorder="1" applyAlignment="1">
      <alignment vertical="top" wrapText="1"/>
    </xf>
    <xf numFmtId="166" fontId="3" fillId="34" borderId="4" xfId="29" applyFont="1" applyFill="1" applyBorder="1" applyAlignment="1">
      <alignment vertical="top" wrapText="1"/>
    </xf>
    <xf numFmtId="166" fontId="3" fillId="34" borderId="5" xfId="29" applyFont="1" applyFill="1" applyBorder="1" applyAlignment="1">
      <alignment vertical="top" wrapText="1"/>
    </xf>
    <xf numFmtId="4" fontId="2" fillId="34" borderId="1" xfId="0" applyNumberFormat="1" applyFont="1" applyFill="1" applyBorder="1" applyAlignment="1">
      <alignment horizontal="right" vertical="top" wrapText="1"/>
    </xf>
    <xf numFmtId="166" fontId="2" fillId="34" borderId="1" xfId="0" applyNumberFormat="1" applyFont="1" applyFill="1" applyBorder="1" applyAlignment="1">
      <alignment horizontal="right" vertical="top"/>
    </xf>
    <xf numFmtId="4" fontId="2" fillId="34" borderId="1" xfId="0" applyNumberFormat="1" applyFont="1" applyFill="1" applyBorder="1" applyAlignment="1">
      <alignment vertical="top"/>
    </xf>
    <xf numFmtId="0" fontId="3" fillId="34" borderId="1" xfId="0" applyFont="1" applyFill="1" applyBorder="1" applyAlignment="1">
      <alignment horizontal="right" vertical="top" wrapText="1"/>
    </xf>
    <xf numFmtId="2" fontId="2" fillId="34" borderId="1" xfId="29" applyNumberFormat="1" applyFont="1" applyFill="1" applyBorder="1" applyAlignment="1">
      <alignment horizontal="center" vertical="top" wrapText="1"/>
    </xf>
    <xf numFmtId="2" fontId="3" fillId="34" borderId="1" xfId="29" applyNumberFormat="1" applyFont="1" applyFill="1" applyBorder="1" applyAlignment="1">
      <alignment horizontal="center" vertical="top" wrapText="1"/>
    </xf>
    <xf numFmtId="0" fontId="3" fillId="34" borderId="24" xfId="0" applyFont="1" applyFill="1" applyBorder="1" applyAlignment="1">
      <alignment vertical="top"/>
    </xf>
    <xf numFmtId="0" fontId="3" fillId="34" borderId="2" xfId="0" applyFont="1" applyFill="1" applyBorder="1" applyAlignment="1">
      <alignment horizontal="center" vertical="top" wrapText="1"/>
    </xf>
    <xf numFmtId="2" fontId="3" fillId="34" borderId="2" xfId="0" applyNumberFormat="1" applyFont="1" applyFill="1" applyBorder="1" applyAlignment="1">
      <alignment horizontal="center" vertical="top" wrapText="1"/>
    </xf>
    <xf numFmtId="2" fontId="3" fillId="34" borderId="2" xfId="0" applyNumberFormat="1" applyFont="1" applyFill="1" applyBorder="1" applyAlignment="1">
      <alignment horizontal="right" vertical="top" wrapText="1"/>
    </xf>
    <xf numFmtId="3" fontId="2" fillId="34" borderId="2" xfId="0" applyNumberFormat="1" applyFont="1" applyFill="1" applyBorder="1" applyAlignment="1">
      <alignment horizontal="right" vertical="top" wrapText="1"/>
    </xf>
    <xf numFmtId="4" fontId="3" fillId="34" borderId="2" xfId="0" applyNumberFormat="1" applyFont="1" applyFill="1" applyBorder="1" applyAlignment="1">
      <alignment horizontal="right" vertical="top" wrapText="1"/>
    </xf>
    <xf numFmtId="3" fontId="3" fillId="34" borderId="2" xfId="0" applyNumberFormat="1" applyFont="1" applyFill="1" applyBorder="1" applyAlignment="1">
      <alignment horizontal="right" vertical="top" wrapText="1"/>
    </xf>
    <xf numFmtId="3" fontId="3" fillId="34" borderId="55" xfId="0" applyNumberFormat="1" applyFont="1" applyFill="1" applyBorder="1" applyAlignment="1">
      <alignment horizontal="right" vertical="top" wrapText="1"/>
    </xf>
    <xf numFmtId="2" fontId="3" fillId="34" borderId="0" xfId="0" applyNumberFormat="1" applyFont="1" applyFill="1"/>
    <xf numFmtId="166" fontId="3" fillId="34" borderId="0" xfId="0" applyNumberFormat="1" applyFont="1" applyFill="1"/>
    <xf numFmtId="4" fontId="3" fillId="34" borderId="0" xfId="0" applyNumberFormat="1" applyFont="1" applyFill="1"/>
    <xf numFmtId="0" fontId="2" fillId="34" borderId="0" xfId="0" applyFont="1" applyFill="1" applyAlignment="1">
      <alignment horizontal="centerContinuous" vertical="top" wrapText="1"/>
    </xf>
    <xf numFmtId="0" fontId="2" fillId="34" borderId="0" xfId="0" applyFont="1" applyFill="1" applyAlignment="1">
      <alignment horizontal="center" vertical="top" wrapText="1"/>
    </xf>
    <xf numFmtId="2" fontId="2" fillId="34" borderId="0" xfId="0" applyNumberFormat="1" applyFont="1" applyFill="1" applyAlignment="1">
      <alignment horizontal="right" vertical="top" wrapText="1"/>
    </xf>
    <xf numFmtId="166" fontId="2" fillId="34" borderId="0" xfId="29" applyNumberFormat="1" applyFont="1" applyFill="1" applyAlignment="1">
      <alignment horizontal="right" vertical="top" wrapText="1"/>
    </xf>
    <xf numFmtId="166" fontId="2" fillId="34" borderId="0" xfId="29" applyFont="1" applyFill="1" applyAlignment="1">
      <alignment horizontal="right" vertical="top" wrapText="1"/>
    </xf>
    <xf numFmtId="4" fontId="2" fillId="34" borderId="0" xfId="0" applyNumberFormat="1" applyFont="1" applyFill="1" applyAlignment="1">
      <alignment horizontal="right" vertical="top" wrapText="1"/>
    </xf>
    <xf numFmtId="0" fontId="2" fillId="34" borderId="0" xfId="0" applyFont="1" applyFill="1" applyAlignment="1">
      <alignment vertical="top"/>
    </xf>
    <xf numFmtId="0" fontId="2" fillId="34" borderId="54" xfId="0" applyFont="1" applyFill="1" applyBorder="1" applyAlignment="1">
      <alignment vertical="top"/>
    </xf>
    <xf numFmtId="0" fontId="3" fillId="34" borderId="1" xfId="0" applyFont="1" applyFill="1" applyBorder="1" applyAlignment="1">
      <alignment vertical="top"/>
    </xf>
    <xf numFmtId="2" fontId="3" fillId="34" borderId="1" xfId="28" applyNumberFormat="1" applyFont="1" applyFill="1" applyBorder="1" applyAlignment="1">
      <alignment horizontal="right" vertical="top" wrapText="1"/>
    </xf>
    <xf numFmtId="4" fontId="3" fillId="34" borderId="1" xfId="0" applyNumberFormat="1" applyFont="1" applyFill="1" applyBorder="1" applyAlignment="1">
      <alignment horizontal="right" vertical="top" wrapText="1"/>
    </xf>
    <xf numFmtId="2" fontId="2" fillId="34" borderId="1" xfId="0" applyNumberFormat="1" applyFont="1" applyFill="1" applyBorder="1" applyAlignment="1">
      <alignment horizontal="center" vertical="top"/>
    </xf>
    <xf numFmtId="166" fontId="2" fillId="34" borderId="1" xfId="29" applyNumberFormat="1" applyFont="1" applyFill="1" applyBorder="1" applyAlignment="1">
      <alignment vertical="top"/>
    </xf>
    <xf numFmtId="0" fontId="3" fillId="34" borderId="1" xfId="0" quotePrefix="1" applyFont="1" applyFill="1" applyBorder="1" applyAlignment="1">
      <alignment vertical="top" wrapText="1"/>
    </xf>
    <xf numFmtId="0" fontId="3" fillId="34" borderId="1" xfId="0" quotePrefix="1" applyFont="1" applyFill="1" applyBorder="1" applyAlignment="1">
      <alignment horizontal="left" vertical="top" wrapText="1"/>
    </xf>
    <xf numFmtId="0" fontId="3" fillId="34" borderId="2" xfId="0" applyFont="1" applyFill="1" applyBorder="1" applyAlignment="1">
      <alignment vertical="top"/>
    </xf>
    <xf numFmtId="0" fontId="3" fillId="34" borderId="2" xfId="0" applyFont="1" applyFill="1" applyBorder="1" applyAlignment="1">
      <alignment horizontal="center" vertical="top"/>
    </xf>
    <xf numFmtId="2" fontId="3" fillId="34" borderId="2" xfId="0" applyNumberFormat="1" applyFont="1" applyFill="1" applyBorder="1" applyAlignment="1">
      <alignment horizontal="right" vertical="top"/>
    </xf>
    <xf numFmtId="4" fontId="3" fillId="34" borderId="2" xfId="0" applyNumberFormat="1" applyFont="1" applyFill="1" applyBorder="1" applyAlignment="1">
      <alignment horizontal="right" vertical="top"/>
    </xf>
    <xf numFmtId="0" fontId="3" fillId="34" borderId="55" xfId="0" applyFont="1" applyFill="1" applyBorder="1" applyAlignment="1">
      <alignment vertical="top"/>
    </xf>
    <xf numFmtId="0" fontId="2" fillId="34" borderId="1" xfId="36" applyNumberFormat="1" applyFont="1" applyFill="1" applyBorder="1" applyAlignment="1">
      <alignment horizontal="center" vertical="top"/>
    </xf>
    <xf numFmtId="2" fontId="2" fillId="34" borderId="1" xfId="36" applyNumberFormat="1" applyFont="1" applyFill="1" applyBorder="1" applyAlignment="1">
      <alignment vertical="top"/>
    </xf>
    <xf numFmtId="166" fontId="2" fillId="34" borderId="1" xfId="36" applyFont="1" applyFill="1" applyBorder="1" applyAlignment="1">
      <alignment vertical="top"/>
    </xf>
    <xf numFmtId="4" fontId="2" fillId="34" borderId="1" xfId="69" applyNumberFormat="1" applyFont="1" applyFill="1" applyBorder="1" applyAlignment="1">
      <alignment vertical="top"/>
    </xf>
    <xf numFmtId="0" fontId="2" fillId="34" borderId="7" xfId="69" applyFont="1" applyFill="1" applyBorder="1" applyAlignment="1">
      <alignment vertical="top"/>
    </xf>
    <xf numFmtId="0" fontId="3" fillId="34" borderId="6" xfId="69" applyFont="1" applyFill="1" applyBorder="1" applyAlignment="1">
      <alignment horizontal="center" vertical="top"/>
    </xf>
    <xf numFmtId="49" fontId="3" fillId="34" borderId="4" xfId="69" applyNumberFormat="1" applyFont="1" applyFill="1" applyBorder="1" applyAlignment="1">
      <alignment vertical="top" wrapText="1"/>
    </xf>
    <xf numFmtId="4" fontId="3" fillId="34" borderId="1" xfId="69" applyNumberFormat="1" applyFont="1" applyFill="1" applyBorder="1" applyAlignment="1">
      <alignment vertical="top"/>
    </xf>
    <xf numFmtId="0" fontId="3" fillId="34" borderId="1" xfId="69" applyFont="1" applyFill="1" applyBorder="1" applyAlignment="1">
      <alignment horizontal="left" vertical="top" wrapText="1"/>
    </xf>
    <xf numFmtId="0" fontId="3" fillId="34" borderId="1" xfId="69" applyFont="1" applyFill="1" applyBorder="1" applyAlignment="1">
      <alignment horizontal="center" vertical="top" wrapText="1"/>
    </xf>
    <xf numFmtId="2" fontId="3" fillId="34" borderId="1" xfId="36" quotePrefix="1" applyNumberFormat="1" applyFont="1" applyFill="1" applyBorder="1" applyAlignment="1">
      <alignment vertical="top"/>
    </xf>
    <xf numFmtId="166" fontId="3" fillId="34" borderId="1" xfId="36" quotePrefix="1" applyFont="1" applyFill="1" applyBorder="1" applyAlignment="1">
      <alignment vertical="top"/>
    </xf>
    <xf numFmtId="49" fontId="3" fillId="34" borderId="5" xfId="69" applyNumberFormat="1" applyFont="1" applyFill="1" applyBorder="1" applyAlignment="1">
      <alignment vertical="top" wrapText="1"/>
    </xf>
    <xf numFmtId="0" fontId="2" fillId="34" borderId="1" xfId="69" applyFont="1" applyFill="1" applyBorder="1" applyAlignment="1">
      <alignment horizontal="left" vertical="top" wrapText="1"/>
    </xf>
    <xf numFmtId="0" fontId="2" fillId="34" borderId="1" xfId="36" applyNumberFormat="1" applyFont="1" applyFill="1" applyBorder="1" applyAlignment="1">
      <alignment horizontal="center" vertical="top" wrapText="1"/>
    </xf>
    <xf numFmtId="4" fontId="2" fillId="34" borderId="1" xfId="36" applyNumberFormat="1" applyFont="1" applyFill="1" applyBorder="1" applyAlignment="1">
      <alignment vertical="top"/>
    </xf>
    <xf numFmtId="166" fontId="3" fillId="34" borderId="1" xfId="36" applyFont="1" applyFill="1" applyBorder="1" applyAlignment="1">
      <alignment horizontal="center" vertical="top"/>
    </xf>
    <xf numFmtId="2" fontId="3" fillId="34" borderId="1" xfId="36" applyNumberFormat="1" applyFont="1" applyFill="1" applyBorder="1" applyAlignment="1">
      <alignment horizontal="right" vertical="top"/>
    </xf>
    <xf numFmtId="2" fontId="3" fillId="34" borderId="1" xfId="36" applyNumberFormat="1" applyFont="1" applyFill="1" applyBorder="1" applyAlignment="1">
      <alignment horizontal="left" vertical="top"/>
    </xf>
    <xf numFmtId="0" fontId="3" fillId="34" borderId="4" xfId="36" applyNumberFormat="1" applyFont="1" applyFill="1" applyBorder="1" applyAlignment="1">
      <alignment vertical="top" wrapText="1"/>
    </xf>
    <xf numFmtId="2" fontId="3" fillId="34" borderId="1" xfId="36" applyNumberFormat="1" applyFont="1" applyFill="1" applyBorder="1" applyAlignment="1">
      <alignment horizontal="center" vertical="top" wrapText="1"/>
    </xf>
    <xf numFmtId="0" fontId="3" fillId="34" borderId="5" xfId="36" applyNumberFormat="1" applyFont="1" applyFill="1" applyBorder="1" applyAlignment="1">
      <alignment vertical="top" wrapText="1"/>
    </xf>
    <xf numFmtId="0" fontId="2" fillId="34" borderId="1" xfId="69" applyFont="1" applyFill="1" applyBorder="1" applyAlignment="1">
      <alignment horizontal="center" vertical="top"/>
    </xf>
    <xf numFmtId="2" fontId="2" fillId="34" borderId="1" xfId="69" applyNumberFormat="1" applyFont="1" applyFill="1" applyBorder="1" applyAlignment="1">
      <alignment vertical="top"/>
    </xf>
    <xf numFmtId="166" fontId="2" fillId="34" borderId="1" xfId="69" applyNumberFormat="1" applyFont="1" applyFill="1" applyBorder="1" applyAlignment="1">
      <alignment vertical="top"/>
    </xf>
    <xf numFmtId="2" fontId="3" fillId="34" borderId="1" xfId="36" applyNumberFormat="1" applyFont="1" applyFill="1" applyBorder="1" applyAlignment="1">
      <alignment horizontal="left" vertical="top" wrapText="1"/>
    </xf>
    <xf numFmtId="4" fontId="3" fillId="34" borderId="1" xfId="36" applyNumberFormat="1" applyFont="1" applyFill="1" applyBorder="1" applyAlignment="1">
      <alignment vertical="top"/>
    </xf>
    <xf numFmtId="166" fontId="3" fillId="34" borderId="1" xfId="36" applyFont="1" applyFill="1" applyBorder="1" applyAlignment="1">
      <alignment horizontal="center" vertical="top" wrapText="1"/>
    </xf>
    <xf numFmtId="0" fontId="2" fillId="34" borderId="1" xfId="69" applyFont="1" applyFill="1" applyBorder="1" applyAlignment="1">
      <alignment horizontal="center" vertical="top" wrapText="1"/>
    </xf>
    <xf numFmtId="0" fontId="3" fillId="34" borderId="2" xfId="69" applyFont="1" applyFill="1" applyBorder="1" applyAlignment="1">
      <alignment vertical="top"/>
    </xf>
    <xf numFmtId="0" fontId="3" fillId="34" borderId="2" xfId="36" applyNumberFormat="1" applyFont="1" applyFill="1" applyBorder="1" applyAlignment="1">
      <alignment vertical="top"/>
    </xf>
    <xf numFmtId="0" fontId="3" fillId="34" borderId="2" xfId="36" applyNumberFormat="1" applyFont="1" applyFill="1" applyBorder="1" applyAlignment="1">
      <alignment horizontal="center" vertical="top"/>
    </xf>
    <xf numFmtId="2" fontId="3" fillId="34" borderId="2" xfId="36" applyNumberFormat="1" applyFont="1" applyFill="1" applyBorder="1" applyAlignment="1">
      <alignment vertical="top"/>
    </xf>
    <xf numFmtId="166" fontId="2" fillId="34" borderId="2" xfId="36" applyFont="1" applyFill="1" applyBorder="1" applyAlignment="1">
      <alignment vertical="top"/>
    </xf>
    <xf numFmtId="4" fontId="3" fillId="34" borderId="2" xfId="69" applyNumberFormat="1" applyFont="1" applyFill="1" applyBorder="1" applyAlignment="1">
      <alignment vertical="top"/>
    </xf>
    <xf numFmtId="0" fontId="3" fillId="34" borderId="22" xfId="69" applyFont="1" applyFill="1" applyBorder="1" applyAlignment="1">
      <alignment vertical="top"/>
    </xf>
    <xf numFmtId="0" fontId="3" fillId="34" borderId="3" xfId="0" applyFont="1" applyFill="1" applyBorder="1" applyAlignment="1">
      <alignment horizontal="center" vertical="top" wrapText="1"/>
    </xf>
    <xf numFmtId="2" fontId="2" fillId="34" borderId="3" xfId="0" applyNumberFormat="1" applyFont="1" applyFill="1" applyBorder="1" applyAlignment="1">
      <alignment horizontal="right" vertical="top" wrapText="1"/>
    </xf>
    <xf numFmtId="4" fontId="2" fillId="34" borderId="3" xfId="29" applyNumberFormat="1" applyFont="1" applyFill="1" applyBorder="1" applyAlignment="1">
      <alignment horizontal="right" vertical="top" wrapText="1"/>
    </xf>
    <xf numFmtId="166" fontId="2" fillId="34" borderId="3" xfId="29" applyFont="1" applyFill="1" applyBorder="1" applyAlignment="1">
      <alignment horizontal="right" vertical="top" wrapText="1"/>
    </xf>
    <xf numFmtId="0" fontId="2" fillId="34" borderId="0" xfId="0" applyFont="1" applyFill="1" applyBorder="1"/>
    <xf numFmtId="2" fontId="2" fillId="34" borderId="0" xfId="0" applyNumberFormat="1" applyFont="1" applyFill="1" applyBorder="1" applyAlignment="1">
      <alignment vertical="top"/>
    </xf>
    <xf numFmtId="166" fontId="3" fillId="34" borderId="4" xfId="29" applyFont="1" applyFill="1" applyBorder="1" applyAlignment="1">
      <alignment horizontal="right" vertical="top" wrapText="1"/>
    </xf>
    <xf numFmtId="0" fontId="3" fillId="34" borderId="26" xfId="0" applyFont="1" applyFill="1" applyBorder="1" applyAlignment="1">
      <alignment vertical="top" wrapText="1"/>
    </xf>
    <xf numFmtId="2" fontId="3" fillId="34" borderId="3" xfId="29" applyNumberFormat="1" applyFont="1" applyFill="1" applyBorder="1" applyAlignment="1">
      <alignment horizontal="right" vertical="top" wrapText="1"/>
    </xf>
    <xf numFmtId="166" fontId="3" fillId="34" borderId="3" xfId="29" applyFont="1" applyFill="1" applyBorder="1" applyAlignment="1">
      <alignment horizontal="right" vertical="top" wrapText="1"/>
    </xf>
    <xf numFmtId="166" fontId="3" fillId="34" borderId="0" xfId="29" applyFont="1" applyFill="1" applyBorder="1" applyAlignment="1">
      <alignment horizontal="right" vertical="top" wrapText="1"/>
    </xf>
    <xf numFmtId="0" fontId="3" fillId="0" borderId="9" xfId="65" applyFont="1" applyFill="1" applyBorder="1" applyAlignment="1">
      <alignment vertical="top" wrapText="1"/>
    </xf>
    <xf numFmtId="0" fontId="3" fillId="0" borderId="23" xfId="65" applyFont="1" applyFill="1" applyBorder="1" applyAlignment="1">
      <alignment vertical="top" wrapText="1"/>
    </xf>
    <xf numFmtId="0" fontId="3" fillId="0" borderId="0" xfId="65" applyFont="1" applyFill="1" applyBorder="1" applyAlignment="1">
      <alignment vertical="top" wrapText="1"/>
    </xf>
    <xf numFmtId="0" fontId="2" fillId="0" borderId="0" xfId="65" applyFont="1" applyFill="1" applyBorder="1" applyAlignment="1">
      <alignment vertical="top" wrapText="1"/>
    </xf>
    <xf numFmtId="0" fontId="3" fillId="34" borderId="1" xfId="0" applyFont="1" applyFill="1" applyBorder="1"/>
    <xf numFmtId="0" fontId="3" fillId="34" borderId="0" xfId="0" applyFont="1" applyFill="1" applyBorder="1" applyAlignment="1">
      <alignment vertical="top"/>
    </xf>
    <xf numFmtId="166" fontId="2" fillId="34" borderId="56" xfId="29" applyNumberFormat="1" applyFont="1" applyFill="1" applyBorder="1" applyAlignment="1">
      <alignment horizontal="right" vertical="top"/>
    </xf>
    <xf numFmtId="170" fontId="2" fillId="34" borderId="2" xfId="0" applyNumberFormat="1" applyFont="1" applyFill="1" applyBorder="1"/>
    <xf numFmtId="0" fontId="2" fillId="34" borderId="4" xfId="68" applyFont="1" applyFill="1" applyBorder="1" applyAlignment="1">
      <alignment horizontal="left" vertical="top" wrapText="1"/>
    </xf>
    <xf numFmtId="0" fontId="6" fillId="34" borderId="4" xfId="68" applyFont="1" applyFill="1" applyBorder="1" applyAlignment="1">
      <alignment horizontal="left" vertical="top" wrapText="1"/>
    </xf>
    <xf numFmtId="0" fontId="3" fillId="34" borderId="9" xfId="68" applyFont="1" applyFill="1" applyBorder="1" applyAlignment="1">
      <alignment horizontal="left" vertical="top" wrapText="1"/>
    </xf>
    <xf numFmtId="0" fontId="9" fillId="34" borderId="1" xfId="68" applyFont="1" applyFill="1" applyBorder="1" applyAlignment="1">
      <alignment vertical="top" wrapText="1"/>
    </xf>
    <xf numFmtId="167" fontId="43" fillId="34" borderId="92" xfId="28" applyNumberFormat="1" applyFont="1" applyFill="1" applyBorder="1" applyAlignment="1">
      <alignment vertical="top" wrapText="1"/>
    </xf>
    <xf numFmtId="0" fontId="2" fillId="34" borderId="5" xfId="36" applyNumberFormat="1" applyFont="1" applyFill="1" applyBorder="1" applyAlignment="1">
      <alignment vertical="top" wrapText="1"/>
    </xf>
    <xf numFmtId="49" fontId="2" fillId="34" borderId="5" xfId="69" applyNumberFormat="1" applyFont="1" applyFill="1" applyBorder="1" applyAlignment="1">
      <alignment vertical="top" wrapText="1"/>
    </xf>
    <xf numFmtId="0" fontId="2" fillId="34" borderId="9" xfId="69" applyFont="1" applyFill="1" applyBorder="1" applyAlignment="1">
      <alignment vertical="top" wrapText="1"/>
    </xf>
    <xf numFmtId="0" fontId="2" fillId="34" borderId="5" xfId="69" applyFont="1" applyFill="1" applyBorder="1" applyAlignment="1">
      <alignment vertical="top" wrapText="1"/>
    </xf>
    <xf numFmtId="0" fontId="2" fillId="34" borderId="23" xfId="69" applyFont="1" applyFill="1" applyBorder="1" applyAlignment="1">
      <alignment vertical="top" wrapText="1"/>
    </xf>
    <xf numFmtId="0" fontId="2" fillId="34" borderId="18" xfId="69" applyFont="1" applyFill="1" applyBorder="1" applyAlignment="1">
      <alignment horizontal="left" vertical="top" wrapText="1"/>
    </xf>
    <xf numFmtId="0" fontId="2" fillId="34" borderId="4" xfId="36" applyNumberFormat="1" applyFont="1" applyFill="1" applyBorder="1" applyAlignment="1">
      <alignment vertical="top" wrapText="1"/>
    </xf>
    <xf numFmtId="0" fontId="2" fillId="34" borderId="1" xfId="0" applyFont="1" applyFill="1" applyBorder="1" applyAlignment="1">
      <alignment horizontal="right" vertical="top"/>
    </xf>
    <xf numFmtId="0" fontId="6" fillId="0" borderId="4" xfId="64" applyFont="1" applyFill="1" applyBorder="1" applyAlignment="1">
      <alignment vertical="top" wrapText="1"/>
    </xf>
    <xf numFmtId="0" fontId="3" fillId="0" borderId="3" xfId="64" applyFont="1" applyBorder="1" applyAlignment="1">
      <alignment vertical="top" wrapText="1"/>
    </xf>
    <xf numFmtId="0" fontId="3" fillId="0" borderId="1" xfId="64" applyFont="1" applyBorder="1" applyAlignment="1">
      <alignment vertical="top" wrapText="1"/>
    </xf>
    <xf numFmtId="0" fontId="3" fillId="0" borderId="1" xfId="64" applyFont="1" applyBorder="1" applyAlignment="1">
      <alignment horizontal="center" vertical="top" wrapText="1"/>
    </xf>
    <xf numFmtId="166" fontId="3" fillId="0" borderId="1" xfId="31" applyFont="1" applyBorder="1" applyAlignment="1">
      <alignment horizontal="left" vertical="top" wrapText="1"/>
    </xf>
    <xf numFmtId="166" fontId="3" fillId="2" borderId="1" xfId="31" applyFont="1" applyFill="1" applyBorder="1" applyAlignment="1">
      <alignment horizontal="right" vertical="top" wrapText="1"/>
    </xf>
    <xf numFmtId="166" fontId="3" fillId="2" borderId="3" xfId="31" applyFont="1" applyFill="1" applyBorder="1" applyAlignment="1">
      <alignment vertical="center" wrapText="1"/>
    </xf>
    <xf numFmtId="166" fontId="3" fillId="2" borderId="3" xfId="31" applyFont="1" applyFill="1" applyBorder="1" applyAlignment="1">
      <alignment horizontal="right" vertical="top" wrapText="1"/>
    </xf>
    <xf numFmtId="166" fontId="3" fillId="0" borderId="1" xfId="31" applyFont="1" applyBorder="1" applyAlignment="1">
      <alignment horizontal="right" vertical="top" wrapText="1"/>
    </xf>
    <xf numFmtId="0" fontId="44" fillId="0" borderId="0" xfId="0" applyFont="1"/>
    <xf numFmtId="166" fontId="2" fillId="34" borderId="1" xfId="29" applyFont="1" applyFill="1" applyBorder="1" applyAlignment="1">
      <alignment horizontal="right" vertical="top" wrapText="1"/>
    </xf>
    <xf numFmtId="0" fontId="2" fillId="34" borderId="1" xfId="0" applyFont="1" applyFill="1" applyBorder="1" applyAlignment="1">
      <alignment horizontal="center" vertical="top" wrapText="1"/>
    </xf>
    <xf numFmtId="0" fontId="3" fillId="0" borderId="9" xfId="70" applyFont="1" applyFill="1" applyBorder="1" applyAlignment="1">
      <alignment horizontal="left" vertical="top" wrapText="1"/>
    </xf>
    <xf numFmtId="0" fontId="2" fillId="34" borderId="1" xfId="0" applyFont="1" applyFill="1" applyBorder="1" applyAlignment="1">
      <alignment horizontal="left" vertical="top" wrapText="1"/>
    </xf>
    <xf numFmtId="3" fontId="2" fillId="34" borderId="1" xfId="0" applyNumberFormat="1" applyFont="1" applyFill="1" applyBorder="1" applyAlignment="1">
      <alignment horizontal="right" vertical="top" wrapText="1"/>
    </xf>
    <xf numFmtId="0" fontId="3" fillId="34" borderId="26" xfId="65" applyFont="1" applyFill="1" applyBorder="1" applyAlignment="1">
      <alignment horizontal="left" vertical="top" wrapText="1"/>
    </xf>
    <xf numFmtId="0" fontId="3" fillId="34" borderId="1" xfId="65" applyFont="1" applyFill="1" applyBorder="1" applyAlignment="1">
      <alignment horizontal="left" vertical="top" wrapText="1"/>
    </xf>
    <xf numFmtId="2" fontId="2" fillId="34" borderId="1" xfId="0" applyNumberFormat="1" applyFont="1" applyFill="1" applyBorder="1" applyAlignment="1">
      <alignment vertical="top" wrapText="1"/>
    </xf>
    <xf numFmtId="0" fontId="3" fillId="34" borderId="3" xfId="36" applyNumberFormat="1" applyFont="1" applyFill="1" applyBorder="1" applyAlignment="1">
      <alignment vertical="top" wrapText="1"/>
    </xf>
    <xf numFmtId="170" fontId="16" fillId="34" borderId="35" xfId="71" applyNumberFormat="1" applyFont="1" applyFill="1" applyBorder="1" applyAlignment="1">
      <alignment vertical="top" wrapText="1"/>
    </xf>
    <xf numFmtId="170" fontId="16" fillId="34" borderId="32" xfId="47" applyNumberFormat="1" applyFont="1" applyFill="1" applyBorder="1" applyAlignment="1">
      <alignment horizontal="right" vertical="top"/>
    </xf>
    <xf numFmtId="0" fontId="45" fillId="34" borderId="0" xfId="67" applyFont="1" applyFill="1" applyAlignment="1">
      <alignment horizontal="center" vertical="top" wrapText="1"/>
    </xf>
    <xf numFmtId="0" fontId="2" fillId="34" borderId="1" xfId="63" quotePrefix="1" applyFont="1" applyFill="1" applyBorder="1" applyAlignment="1">
      <alignment horizontal="centerContinuous" vertical="center" wrapText="1"/>
    </xf>
    <xf numFmtId="0" fontId="2" fillId="34" borderId="1" xfId="63" applyFont="1" applyFill="1" applyBorder="1" applyAlignment="1">
      <alignment horizontal="centerContinuous" vertical="center" wrapText="1"/>
    </xf>
    <xf numFmtId="170" fontId="2" fillId="34" borderId="1" xfId="63" applyNumberFormat="1" applyFont="1" applyFill="1" applyBorder="1" applyAlignment="1">
      <alignment horizontal="centerContinuous" vertical="center" wrapText="1"/>
    </xf>
    <xf numFmtId="0" fontId="2" fillId="34" borderId="2" xfId="63" applyFont="1" applyFill="1" applyBorder="1" applyAlignment="1">
      <alignment horizontal="centerContinuous" vertical="center" wrapText="1"/>
    </xf>
    <xf numFmtId="164" fontId="2" fillId="34" borderId="2" xfId="63" applyNumberFormat="1" applyFont="1" applyFill="1" applyBorder="1" applyAlignment="1">
      <alignment horizontal="centerContinuous" vertical="center" wrapText="1"/>
    </xf>
    <xf numFmtId="170" fontId="2" fillId="34" borderId="2" xfId="63" applyNumberFormat="1" applyFont="1" applyFill="1" applyBorder="1" applyAlignment="1">
      <alignment horizontal="centerContinuous" vertical="center" wrapText="1"/>
    </xf>
    <xf numFmtId="0" fontId="45" fillId="34" borderId="1" xfId="67" quotePrefix="1" applyFont="1" applyFill="1" applyBorder="1" applyAlignment="1">
      <alignment horizontal="center" vertical="top" wrapText="1"/>
    </xf>
    <xf numFmtId="0" fontId="45" fillId="34" borderId="23" xfId="67" quotePrefix="1" applyFont="1" applyFill="1" applyBorder="1" applyAlignment="1">
      <alignment horizontal="center" vertical="top" wrapText="1"/>
    </xf>
    <xf numFmtId="0" fontId="45" fillId="34" borderId="5" xfId="67" quotePrefix="1" applyFont="1" applyFill="1" applyBorder="1" applyAlignment="1">
      <alignment horizontal="center" vertical="top" wrapText="1"/>
    </xf>
    <xf numFmtId="0" fontId="45" fillId="34" borderId="12" xfId="67" quotePrefix="1" applyFont="1" applyFill="1" applyBorder="1" applyAlignment="1">
      <alignment horizontal="center" vertical="top" wrapText="1"/>
    </xf>
    <xf numFmtId="0" fontId="45" fillId="34" borderId="6" xfId="67" quotePrefix="1" applyFont="1" applyFill="1" applyBorder="1" applyAlignment="1">
      <alignment horizontal="center" vertical="top" wrapText="1"/>
    </xf>
    <xf numFmtId="0" fontId="45" fillId="34" borderId="26" xfId="67" applyFont="1" applyFill="1" applyBorder="1" applyAlignment="1">
      <alignment horizontal="left" vertical="top" wrapText="1"/>
    </xf>
    <xf numFmtId="0" fontId="45" fillId="34" borderId="1" xfId="63" applyFont="1" applyFill="1" applyBorder="1" applyAlignment="1">
      <alignment vertical="top" wrapText="1"/>
    </xf>
    <xf numFmtId="0" fontId="45" fillId="34" borderId="1" xfId="67" applyFont="1" applyFill="1" applyBorder="1" applyAlignment="1">
      <alignment horizontal="left" vertical="top" wrapText="1"/>
    </xf>
    <xf numFmtId="166" fontId="45" fillId="34" borderId="1" xfId="32" applyFont="1" applyFill="1" applyBorder="1" applyAlignment="1">
      <alignment horizontal="right" vertical="top" wrapText="1"/>
    </xf>
    <xf numFmtId="166" fontId="45" fillId="34" borderId="6" xfId="32" applyFont="1" applyFill="1" applyBorder="1" applyAlignment="1">
      <alignment horizontal="left" vertical="top" wrapText="1"/>
    </xf>
    <xf numFmtId="0" fontId="45" fillId="34" borderId="0" xfId="67" applyFont="1" applyFill="1" applyAlignment="1">
      <alignment horizontal="left" vertical="top" wrapText="1"/>
    </xf>
    <xf numFmtId="166" fontId="45" fillId="34" borderId="6" xfId="32" applyFont="1" applyFill="1" applyBorder="1" applyAlignment="1">
      <alignment horizontal="right" vertical="top" wrapText="1"/>
    </xf>
    <xf numFmtId="0" fontId="45" fillId="34" borderId="26" xfId="63" applyFont="1" applyFill="1" applyBorder="1" applyAlignment="1">
      <alignment horizontal="left" vertical="top" wrapText="1"/>
    </xf>
    <xf numFmtId="166" fontId="45" fillId="34" borderId="1" xfId="32" applyFont="1" applyFill="1" applyBorder="1" applyAlignment="1">
      <alignment vertical="center" wrapText="1"/>
    </xf>
    <xf numFmtId="0" fontId="45" fillId="34" borderId="26" xfId="63" applyFont="1" applyFill="1" applyBorder="1" applyAlignment="1">
      <alignment vertical="top" wrapText="1"/>
    </xf>
    <xf numFmtId="0" fontId="45" fillId="34" borderId="26" xfId="67" applyFont="1" applyFill="1" applyBorder="1" applyAlignment="1">
      <alignment vertical="top" wrapText="1"/>
    </xf>
    <xf numFmtId="0" fontId="45" fillId="34" borderId="1" xfId="67" applyFont="1" applyFill="1" applyBorder="1" applyAlignment="1">
      <alignment vertical="top" wrapText="1"/>
    </xf>
    <xf numFmtId="0" fontId="45" fillId="34" borderId="23" xfId="63" applyFont="1" applyFill="1" applyBorder="1" applyAlignment="1">
      <alignment vertical="top" wrapText="1"/>
    </xf>
    <xf numFmtId="0" fontId="42" fillId="34" borderId="26" xfId="67" applyFont="1" applyFill="1" applyBorder="1" applyAlignment="1">
      <alignment horizontal="left" vertical="top"/>
    </xf>
    <xf numFmtId="166" fontId="45" fillId="34" borderId="1" xfId="67" applyNumberFormat="1" applyFont="1" applyFill="1" applyBorder="1" applyAlignment="1">
      <alignment horizontal="left" vertical="top" wrapText="1"/>
    </xf>
    <xf numFmtId="0" fontId="45" fillId="34" borderId="6" xfId="67" applyFont="1" applyFill="1" applyBorder="1" applyAlignment="1">
      <alignment horizontal="left" vertical="top" wrapText="1"/>
    </xf>
    <xf numFmtId="0" fontId="45" fillId="34" borderId="0" xfId="63" applyFont="1" applyFill="1" applyAlignment="1">
      <alignment vertical="top" wrapText="1"/>
    </xf>
    <xf numFmtId="0" fontId="45" fillId="34" borderId="1" xfId="63" applyFont="1" applyFill="1" applyBorder="1" applyAlignment="1">
      <alignment horizontal="center" vertical="top" wrapText="1"/>
    </xf>
    <xf numFmtId="166" fontId="45" fillId="34" borderId="6" xfId="32" applyFont="1" applyFill="1" applyBorder="1" applyAlignment="1">
      <alignment horizontal="center" vertical="top" wrapText="1"/>
    </xf>
    <xf numFmtId="166" fontId="45" fillId="34" borderId="1" xfId="42" applyNumberFormat="1" applyFont="1" applyFill="1" applyBorder="1" applyAlignment="1">
      <alignment vertical="top" wrapText="1"/>
    </xf>
    <xf numFmtId="166" fontId="45" fillId="34" borderId="1" xfId="32" applyFont="1" applyFill="1" applyBorder="1" applyAlignment="1">
      <alignment vertical="top" wrapText="1"/>
    </xf>
    <xf numFmtId="166" fontId="45" fillId="34" borderId="6" xfId="42" applyNumberFormat="1" applyFont="1" applyFill="1" applyBorder="1" applyAlignment="1">
      <alignment vertical="top" wrapText="1"/>
    </xf>
    <xf numFmtId="0" fontId="45" fillId="34" borderId="1" xfId="63" applyFont="1" applyFill="1" applyBorder="1" applyAlignment="1">
      <alignment horizontal="right" vertical="top" wrapText="1"/>
    </xf>
    <xf numFmtId="0" fontId="45" fillId="34" borderId="1" xfId="63" applyFont="1" applyFill="1" applyBorder="1" applyAlignment="1">
      <alignment horizontal="left" vertical="top" wrapText="1"/>
    </xf>
    <xf numFmtId="0" fontId="45" fillId="34" borderId="1" xfId="63" quotePrefix="1" applyFont="1" applyFill="1" applyBorder="1" applyAlignment="1">
      <alignment vertical="top" wrapText="1"/>
    </xf>
    <xf numFmtId="166" fontId="45" fillId="34" borderId="1" xfId="42" applyNumberFormat="1" applyFont="1" applyFill="1" applyBorder="1" applyAlignment="1">
      <alignment horizontal="center" vertical="center" wrapText="1"/>
    </xf>
    <xf numFmtId="166" fontId="45" fillId="34" borderId="1" xfId="42" quotePrefix="1" applyNumberFormat="1" applyFont="1" applyFill="1" applyBorder="1" applyAlignment="1">
      <alignment vertical="top" wrapText="1"/>
    </xf>
    <xf numFmtId="0" fontId="45" fillId="34" borderId="1" xfId="67" applyFont="1" applyFill="1" applyBorder="1" applyAlignment="1">
      <alignment horizontal="center" vertical="top" wrapText="1"/>
    </xf>
    <xf numFmtId="166" fontId="45" fillId="34" borderId="1" xfId="32" applyFont="1" applyFill="1" applyBorder="1" applyAlignment="1">
      <alignment horizontal="left" vertical="top" wrapText="1"/>
    </xf>
    <xf numFmtId="0" fontId="45" fillId="34" borderId="26" xfId="67" applyFont="1" applyFill="1" applyBorder="1" applyAlignment="1">
      <alignment horizontal="left" vertical="top"/>
    </xf>
    <xf numFmtId="166" fontId="3" fillId="34" borderId="1" xfId="32" applyFont="1" applyFill="1" applyBorder="1" applyAlignment="1">
      <alignment horizontal="center" vertical="top" wrapText="1"/>
    </xf>
    <xf numFmtId="166" fontId="45" fillId="34" borderId="1" xfId="32" applyFont="1" applyFill="1" applyBorder="1" applyAlignment="1">
      <alignment horizontal="center" vertical="top" wrapText="1"/>
    </xf>
    <xf numFmtId="166" fontId="45" fillId="34" borderId="0" xfId="32" applyFont="1" applyFill="1" applyAlignment="1">
      <alignment horizontal="left" vertical="top" wrapText="1"/>
    </xf>
    <xf numFmtId="166" fontId="45" fillId="34" borderId="0" xfId="67" applyNumberFormat="1" applyFont="1" applyFill="1" applyAlignment="1">
      <alignment horizontal="left" vertical="top" wrapText="1"/>
    </xf>
    <xf numFmtId="0" fontId="45" fillId="34" borderId="0" xfId="67" applyFont="1" applyFill="1" applyAlignment="1">
      <alignment horizontal="left" vertical="top"/>
    </xf>
    <xf numFmtId="0" fontId="45" fillId="34" borderId="1" xfId="67" applyFont="1" applyFill="1" applyBorder="1" applyAlignment="1">
      <alignment horizontal="left" vertical="top"/>
    </xf>
    <xf numFmtId="0" fontId="45" fillId="34" borderId="1" xfId="67" applyFont="1" applyFill="1" applyBorder="1" applyAlignment="1">
      <alignment horizontal="center" vertical="top"/>
    </xf>
    <xf numFmtId="166" fontId="45" fillId="34" borderId="1" xfId="67" applyNumberFormat="1" applyFont="1" applyFill="1" applyBorder="1" applyAlignment="1">
      <alignment horizontal="left" vertical="top"/>
    </xf>
    <xf numFmtId="0" fontId="45" fillId="34" borderId="6" xfId="67" applyFont="1" applyFill="1" applyBorder="1" applyAlignment="1">
      <alignment horizontal="left" vertical="top"/>
    </xf>
    <xf numFmtId="0" fontId="45" fillId="34" borderId="1" xfId="67" applyFont="1" applyFill="1" applyBorder="1" applyAlignment="1">
      <alignment horizontal="left" wrapText="1"/>
    </xf>
    <xf numFmtId="0" fontId="3" fillId="34" borderId="1" xfId="67" applyFont="1" applyFill="1" applyBorder="1" applyAlignment="1">
      <alignment horizontal="center" vertical="top" wrapText="1"/>
    </xf>
    <xf numFmtId="166" fontId="3" fillId="34" borderId="1" xfId="32" applyFont="1" applyFill="1" applyBorder="1" applyAlignment="1">
      <alignment horizontal="right" vertical="top" wrapText="1"/>
    </xf>
    <xf numFmtId="166" fontId="3" fillId="34" borderId="6" xfId="32" applyFont="1" applyFill="1" applyBorder="1" applyAlignment="1">
      <alignment horizontal="right" vertical="top" wrapText="1"/>
    </xf>
    <xf numFmtId="0" fontId="3" fillId="34" borderId="0" xfId="67" applyFont="1" applyFill="1" applyAlignment="1">
      <alignment horizontal="left" vertical="top" wrapText="1"/>
    </xf>
    <xf numFmtId="166" fontId="45" fillId="34" borderId="1" xfId="67" applyNumberFormat="1" applyFont="1" applyFill="1" applyBorder="1" applyAlignment="1">
      <alignment horizontal="right" vertical="top"/>
    </xf>
    <xf numFmtId="0" fontId="46" fillId="34" borderId="26" xfId="63" applyFont="1" applyFill="1" applyBorder="1" applyAlignment="1">
      <alignment vertical="top" wrapText="1"/>
    </xf>
    <xf numFmtId="0" fontId="3" fillId="34" borderId="1" xfId="67" applyFont="1" applyFill="1" applyBorder="1" applyAlignment="1">
      <alignment horizontal="left" vertical="top"/>
    </xf>
    <xf numFmtId="166" fontId="3" fillId="34" borderId="1" xfId="67" applyNumberFormat="1" applyFont="1" applyFill="1" applyBorder="1" applyAlignment="1">
      <alignment horizontal="left" vertical="top"/>
    </xf>
    <xf numFmtId="0" fontId="3" fillId="34" borderId="26" xfId="63" applyFont="1" applyFill="1" applyBorder="1" applyAlignment="1">
      <alignment vertical="top" wrapText="1"/>
    </xf>
    <xf numFmtId="0" fontId="3" fillId="34" borderId="1" xfId="63" applyFont="1" applyFill="1" applyBorder="1" applyAlignment="1">
      <alignment vertical="top" wrapText="1"/>
    </xf>
    <xf numFmtId="166" fontId="47" fillId="34" borderId="6" xfId="32" applyFont="1" applyFill="1" applyBorder="1" applyAlignment="1">
      <alignment horizontal="right" vertical="top" wrapText="1"/>
    </xf>
    <xf numFmtId="0" fontId="3" fillId="34" borderId="1" xfId="63" applyFont="1" applyFill="1" applyBorder="1" applyAlignment="1">
      <alignment horizontal="center" vertical="top" wrapText="1"/>
    </xf>
    <xf numFmtId="0" fontId="3" fillId="34" borderId="26" xfId="67" applyFont="1" applyFill="1" applyBorder="1" applyAlignment="1">
      <alignment horizontal="left" vertical="top" wrapText="1"/>
    </xf>
    <xf numFmtId="0" fontId="3" fillId="34" borderId="1" xfId="67" applyFont="1" applyFill="1" applyBorder="1" applyAlignment="1">
      <alignment horizontal="left" vertical="top" wrapText="1"/>
    </xf>
    <xf numFmtId="0" fontId="45" fillId="34" borderId="24" xfId="63" applyFont="1" applyFill="1" applyBorder="1" applyAlignment="1">
      <alignment horizontal="left" vertical="top" wrapText="1"/>
    </xf>
    <xf numFmtId="0" fontId="5" fillId="34" borderId="2" xfId="63" applyFont="1" applyFill="1" applyBorder="1" applyAlignment="1">
      <alignment horizontal="left" vertical="top" wrapText="1"/>
    </xf>
    <xf numFmtId="0" fontId="45" fillId="34" borderId="2" xfId="67" applyFont="1" applyFill="1" applyBorder="1" applyAlignment="1">
      <alignment horizontal="left" vertical="top" wrapText="1"/>
    </xf>
    <xf numFmtId="166" fontId="45" fillId="34" borderId="2" xfId="32" applyFont="1" applyFill="1" applyBorder="1" applyAlignment="1">
      <alignment horizontal="right" vertical="top" wrapText="1"/>
    </xf>
    <xf numFmtId="166" fontId="45" fillId="34" borderId="22" xfId="32" applyFont="1" applyFill="1" applyBorder="1" applyAlignment="1">
      <alignment horizontal="right" vertical="top" wrapText="1"/>
    </xf>
    <xf numFmtId="0" fontId="42" fillId="34" borderId="1" xfId="67" applyFont="1" applyFill="1" applyBorder="1" applyAlignment="1">
      <alignment horizontal="left" vertical="top" wrapText="1"/>
    </xf>
    <xf numFmtId="166" fontId="42" fillId="34" borderId="1" xfId="32" applyFont="1" applyFill="1" applyBorder="1" applyAlignment="1">
      <alignment horizontal="right" vertical="top" wrapText="1"/>
    </xf>
    <xf numFmtId="166" fontId="42" fillId="34" borderId="6" xfId="32" applyFont="1" applyFill="1" applyBorder="1" applyAlignment="1">
      <alignment horizontal="right" vertical="top" wrapText="1"/>
    </xf>
    <xf numFmtId="0" fontId="42" fillId="34" borderId="0" xfId="67" applyFont="1" applyFill="1" applyAlignment="1">
      <alignment horizontal="left" vertical="top" wrapText="1"/>
    </xf>
    <xf numFmtId="0" fontId="42" fillId="34" borderId="53" xfId="63" applyFont="1" applyFill="1" applyBorder="1" applyAlignment="1">
      <alignment vertical="top" wrapText="1"/>
    </xf>
    <xf numFmtId="0" fontId="42" fillId="34" borderId="1" xfId="63" applyFont="1" applyFill="1" applyBorder="1" applyAlignment="1">
      <alignment vertical="top" wrapText="1"/>
    </xf>
    <xf numFmtId="0" fontId="42" fillId="34" borderId="26" xfId="67" applyFont="1" applyFill="1" applyBorder="1" applyAlignment="1">
      <alignment vertical="top" wrapText="1"/>
    </xf>
    <xf numFmtId="0" fontId="42" fillId="34" borderId="26" xfId="63" applyFont="1" applyFill="1" applyBorder="1" applyAlignment="1">
      <alignment vertical="top" wrapText="1"/>
    </xf>
    <xf numFmtId="0" fontId="42" fillId="34" borderId="53" xfId="67" applyFont="1" applyFill="1" applyBorder="1" applyAlignment="1">
      <alignment vertical="top" wrapText="1"/>
    </xf>
    <xf numFmtId="0" fontId="42" fillId="34" borderId="23" xfId="67" applyFont="1" applyFill="1" applyBorder="1" applyAlignment="1">
      <alignment vertical="top" wrapText="1"/>
    </xf>
    <xf numFmtId="0" fontId="42" fillId="34" borderId="23" xfId="63" applyFont="1" applyFill="1" applyBorder="1" applyAlignment="1">
      <alignment vertical="top" wrapText="1"/>
    </xf>
    <xf numFmtId="0" fontId="48" fillId="34" borderId="26" xfId="63" applyFont="1" applyFill="1" applyBorder="1" applyAlignment="1">
      <alignment vertical="center" wrapText="1"/>
    </xf>
    <xf numFmtId="0" fontId="2" fillId="34" borderId="53" xfId="63" applyFont="1" applyFill="1" applyBorder="1" applyAlignment="1">
      <alignment vertical="top" wrapText="1"/>
    </xf>
    <xf numFmtId="0" fontId="2" fillId="34" borderId="23" xfId="63" applyFont="1" applyFill="1" applyBorder="1" applyAlignment="1">
      <alignment vertical="top" wrapText="1"/>
    </xf>
    <xf numFmtId="0" fontId="2" fillId="34" borderId="26" xfId="67" applyFont="1" applyFill="1" applyBorder="1" applyAlignment="1">
      <alignment horizontal="left" vertical="top" wrapText="1"/>
    </xf>
    <xf numFmtId="166" fontId="2" fillId="35" borderId="1" xfId="29" applyFont="1" applyFill="1" applyBorder="1" applyAlignment="1">
      <alignment horizontal="right" vertical="top" wrapText="1"/>
    </xf>
    <xf numFmtId="166" fontId="2" fillId="34" borderId="1" xfId="29" applyFont="1" applyFill="1" applyBorder="1" applyAlignment="1">
      <alignment horizontal="right" vertical="top" wrapText="1"/>
    </xf>
    <xf numFmtId="170" fontId="21" fillId="35" borderId="32" xfId="47" applyNumberFormat="1" applyFont="1" applyFill="1" applyBorder="1" applyAlignment="1">
      <alignment horizontal="right" vertical="top"/>
    </xf>
    <xf numFmtId="167" fontId="16" fillId="35" borderId="32" xfId="47" applyNumberFormat="1" applyFont="1" applyFill="1" applyBorder="1" applyAlignment="1">
      <alignment horizontal="right" vertical="top"/>
    </xf>
    <xf numFmtId="167" fontId="16" fillId="35" borderId="32" xfId="71" applyNumberFormat="1" applyFont="1" applyFill="1" applyBorder="1" applyAlignment="1">
      <alignment vertical="top" wrapText="1"/>
    </xf>
    <xf numFmtId="167" fontId="16" fillId="35" borderId="32" xfId="28" applyFont="1" applyFill="1" applyBorder="1" applyAlignment="1">
      <alignment horizontal="right" vertical="top"/>
    </xf>
    <xf numFmtId="170" fontId="21" fillId="34" borderId="32" xfId="71" applyNumberFormat="1" applyFont="1" applyFill="1" applyBorder="1" applyAlignment="1">
      <alignment vertical="top" wrapText="1"/>
    </xf>
    <xf numFmtId="170" fontId="21" fillId="34" borderId="32" xfId="51" applyNumberFormat="1" applyFont="1" applyFill="1" applyBorder="1" applyAlignment="1">
      <alignment vertical="top"/>
    </xf>
    <xf numFmtId="170" fontId="21" fillId="34" borderId="32" xfId="71" applyNumberFormat="1" applyFont="1" applyFill="1" applyBorder="1" applyAlignment="1">
      <alignment vertical="top"/>
    </xf>
    <xf numFmtId="170" fontId="21" fillId="34" borderId="32" xfId="51" applyNumberFormat="1" applyFont="1" applyFill="1" applyBorder="1" applyAlignment="1">
      <alignment vertical="top" wrapText="1"/>
    </xf>
    <xf numFmtId="0" fontId="16" fillId="35" borderId="32" xfId="71" applyFont="1" applyFill="1" applyBorder="1" applyAlignment="1">
      <alignment vertical="top" wrapText="1"/>
    </xf>
    <xf numFmtId="0" fontId="16" fillId="35" borderId="32" xfId="71" applyFont="1" applyFill="1" applyBorder="1" applyAlignment="1">
      <alignment horizontal="center" vertical="top" wrapText="1"/>
    </xf>
    <xf numFmtId="170" fontId="16" fillId="35" borderId="32" xfId="71" applyNumberFormat="1" applyFont="1" applyFill="1" applyBorder="1" applyAlignment="1">
      <alignment horizontal="right" vertical="top" wrapText="1"/>
    </xf>
    <xf numFmtId="167" fontId="16" fillId="35" borderId="32" xfId="28" applyFont="1" applyFill="1" applyBorder="1" applyAlignment="1">
      <alignment vertical="top" wrapText="1"/>
    </xf>
    <xf numFmtId="170" fontId="16" fillId="35" borderId="35" xfId="71" applyNumberFormat="1" applyFont="1" applyFill="1" applyBorder="1" applyAlignment="1">
      <alignment vertical="top" wrapText="1"/>
    </xf>
    <xf numFmtId="170" fontId="16" fillId="35" borderId="32" xfId="47" applyNumberFormat="1" applyFont="1" applyFill="1" applyBorder="1" applyAlignment="1">
      <alignment horizontal="right" vertical="top"/>
    </xf>
    <xf numFmtId="0" fontId="21" fillId="34" borderId="32" xfId="71" applyFont="1" applyFill="1" applyBorder="1" applyAlignment="1">
      <alignment horizontal="left" vertical="top" wrapText="1"/>
    </xf>
    <xf numFmtId="0" fontId="21" fillId="34" borderId="32" xfId="71" applyFont="1" applyFill="1" applyBorder="1" applyAlignment="1">
      <alignment horizontal="center" vertical="top" wrapText="1"/>
    </xf>
    <xf numFmtId="170" fontId="21" fillId="34" borderId="32" xfId="71" applyNumberFormat="1" applyFont="1" applyFill="1" applyBorder="1" applyAlignment="1">
      <alignment horizontal="right" vertical="top" wrapText="1"/>
    </xf>
    <xf numFmtId="170" fontId="21" fillId="34" borderId="32" xfId="71" applyNumberFormat="1" applyFont="1" applyFill="1" applyBorder="1" applyAlignment="1">
      <alignment horizontal="center" vertical="top" wrapText="1"/>
    </xf>
    <xf numFmtId="170" fontId="21" fillId="34" borderId="35" xfId="51" applyNumberFormat="1" applyFont="1" applyFill="1" applyBorder="1" applyAlignment="1">
      <alignment vertical="top" wrapText="1"/>
    </xf>
    <xf numFmtId="170" fontId="21" fillId="34" borderId="32" xfId="71" applyNumberFormat="1" applyFont="1" applyFill="1" applyBorder="1" applyAlignment="1">
      <alignment horizontal="center" vertical="top"/>
    </xf>
    <xf numFmtId="170" fontId="21" fillId="34" borderId="35" xfId="71" applyNumberFormat="1" applyFont="1" applyFill="1" applyBorder="1" applyAlignment="1">
      <alignment vertical="top"/>
    </xf>
    <xf numFmtId="170" fontId="21" fillId="34" borderId="36" xfId="51" applyNumberFormat="1" applyFont="1" applyFill="1" applyBorder="1" applyAlignment="1">
      <alignment vertical="top" wrapText="1"/>
    </xf>
    <xf numFmtId="170" fontId="21" fillId="34" borderId="36" xfId="71" applyNumberFormat="1" applyFont="1" applyFill="1" applyBorder="1" applyAlignment="1">
      <alignment vertical="top"/>
    </xf>
    <xf numFmtId="170" fontId="21" fillId="34" borderId="32" xfId="47" applyNumberFormat="1" applyFont="1" applyFill="1" applyBorder="1" applyAlignment="1">
      <alignment horizontal="right" vertical="top"/>
    </xf>
    <xf numFmtId="170" fontId="21" fillId="35" borderId="32" xfId="71" applyNumberFormat="1" applyFont="1" applyFill="1" applyBorder="1" applyAlignment="1">
      <alignment vertical="top" wrapText="1"/>
    </xf>
    <xf numFmtId="0" fontId="3" fillId="34" borderId="26" xfId="63" applyFont="1" applyFill="1" applyBorder="1" applyAlignment="1">
      <alignment horizontal="left" vertical="top" wrapText="1"/>
    </xf>
    <xf numFmtId="0" fontId="5" fillId="34" borderId="1" xfId="63" applyFont="1" applyFill="1" applyBorder="1" applyAlignment="1">
      <alignment horizontal="left" vertical="top" wrapText="1"/>
    </xf>
    <xf numFmtId="0" fontId="3" fillId="34" borderId="1" xfId="63" applyFont="1" applyFill="1" applyBorder="1" applyAlignment="1">
      <alignment horizontal="left" vertical="top" wrapText="1"/>
    </xf>
    <xf numFmtId="0" fontId="5" fillId="34" borderId="26" xfId="63" applyFont="1" applyFill="1" applyBorder="1" applyAlignment="1">
      <alignment horizontal="left" vertical="top" wrapText="1"/>
    </xf>
    <xf numFmtId="166" fontId="3" fillId="34" borderId="1" xfId="32" applyFont="1" applyFill="1" applyBorder="1" applyAlignment="1">
      <alignment horizontal="center" vertical="center" wrapText="1"/>
    </xf>
    <xf numFmtId="0" fontId="3" fillId="34" borderId="1" xfId="63" applyFont="1" applyFill="1" applyBorder="1" applyAlignment="1">
      <alignment horizontal="right" vertical="top" wrapText="1"/>
    </xf>
    <xf numFmtId="166" fontId="45" fillId="34" borderId="1" xfId="32" applyFont="1" applyFill="1" applyBorder="1" applyAlignment="1">
      <alignment horizontal="center" vertical="center" wrapText="1"/>
    </xf>
    <xf numFmtId="0" fontId="42" fillId="34" borderId="26" xfId="67" applyFont="1" applyFill="1" applyBorder="1" applyAlignment="1">
      <alignment horizontal="left" vertical="top" wrapText="1"/>
    </xf>
    <xf numFmtId="2" fontId="2" fillId="34" borderId="1" xfId="73" applyNumberFormat="1" applyFont="1" applyFill="1" applyBorder="1" applyAlignment="1">
      <alignment horizontal="right" vertical="top" wrapText="1"/>
    </xf>
    <xf numFmtId="2" fontId="2" fillId="34" borderId="1" xfId="73" applyNumberFormat="1" applyFont="1" applyFill="1" applyBorder="1" applyAlignment="1">
      <alignment vertical="top" wrapText="1"/>
    </xf>
    <xf numFmtId="166" fontId="2" fillId="34" borderId="1" xfId="41" applyFont="1" applyFill="1" applyBorder="1" applyAlignment="1">
      <alignment vertical="top"/>
    </xf>
    <xf numFmtId="2" fontId="2" fillId="34" borderId="1" xfId="73" applyNumberFormat="1" applyFont="1" applyFill="1" applyBorder="1" applyAlignment="1">
      <alignment vertical="top"/>
    </xf>
    <xf numFmtId="0" fontId="2" fillId="34" borderId="6" xfId="73" applyFont="1" applyFill="1" applyBorder="1" applyAlignment="1">
      <alignment horizontal="center" vertical="top" wrapText="1"/>
    </xf>
    <xf numFmtId="167" fontId="2" fillId="34" borderId="1" xfId="49" applyFont="1" applyFill="1" applyBorder="1" applyAlignment="1">
      <alignment horizontal="center" vertical="top" wrapText="1"/>
    </xf>
    <xf numFmtId="170" fontId="2" fillId="34" borderId="1" xfId="49" applyNumberFormat="1" applyFont="1" applyFill="1" applyBorder="1" applyAlignment="1">
      <alignment horizontal="right" vertical="top" wrapText="1"/>
    </xf>
    <xf numFmtId="170" fontId="2" fillId="34" borderId="1" xfId="49" applyNumberFormat="1" applyFont="1" applyFill="1" applyBorder="1" applyAlignment="1">
      <alignment vertical="top" wrapText="1"/>
    </xf>
    <xf numFmtId="166" fontId="2" fillId="34" borderId="1" xfId="41" applyFont="1" applyFill="1" applyBorder="1" applyAlignment="1">
      <alignment vertical="top" wrapText="1"/>
    </xf>
    <xf numFmtId="170" fontId="2" fillId="34" borderId="1" xfId="73" applyNumberFormat="1" applyFont="1" applyFill="1" applyBorder="1" applyAlignment="1">
      <alignment vertical="top"/>
    </xf>
    <xf numFmtId="0" fontId="3" fillId="34" borderId="3" xfId="73" applyFont="1" applyFill="1" applyBorder="1" applyAlignment="1">
      <alignment vertical="top" wrapText="1"/>
    </xf>
    <xf numFmtId="0" fontId="3" fillId="34" borderId="1" xfId="73" applyFont="1" applyFill="1" applyBorder="1" applyAlignment="1">
      <alignment vertical="top" wrapText="1"/>
    </xf>
    <xf numFmtId="167" fontId="3" fillId="34" borderId="1" xfId="49" applyFont="1" applyFill="1" applyBorder="1" applyAlignment="1">
      <alignment horizontal="center" vertical="top" wrapText="1"/>
    </xf>
    <xf numFmtId="170" fontId="3" fillId="34" borderId="1" xfId="49" applyNumberFormat="1" applyFont="1" applyFill="1" applyBorder="1" applyAlignment="1">
      <alignment horizontal="right" vertical="top" wrapText="1"/>
    </xf>
    <xf numFmtId="166" fontId="3" fillId="34" borderId="1" xfId="41" applyFont="1" applyFill="1" applyBorder="1" applyAlignment="1">
      <alignment vertical="top"/>
    </xf>
    <xf numFmtId="170" fontId="3" fillId="34" borderId="1" xfId="73" applyNumberFormat="1" applyFont="1" applyFill="1" applyBorder="1" applyAlignment="1">
      <alignment vertical="top"/>
    </xf>
    <xf numFmtId="0" fontId="2" fillId="34" borderId="1" xfId="73" applyFont="1" applyFill="1" applyBorder="1"/>
    <xf numFmtId="0" fontId="3" fillId="34" borderId="4" xfId="73" applyFont="1" applyFill="1" applyBorder="1" applyAlignment="1">
      <alignment vertical="top" wrapText="1"/>
    </xf>
    <xf numFmtId="170" fontId="3" fillId="34" borderId="1" xfId="49" applyNumberFormat="1" applyFont="1" applyFill="1" applyBorder="1" applyAlignment="1">
      <alignment vertical="top" wrapText="1"/>
    </xf>
    <xf numFmtId="166" fontId="3" fillId="34" borderId="1" xfId="41" applyFont="1" applyFill="1" applyBorder="1" applyAlignment="1">
      <alignment vertical="top" wrapText="1"/>
    </xf>
    <xf numFmtId="0" fontId="3" fillId="34" borderId="1" xfId="73" applyFont="1" applyFill="1" applyBorder="1"/>
    <xf numFmtId="1" fontId="3" fillId="34" borderId="1" xfId="49" applyNumberFormat="1" applyFont="1" applyFill="1" applyBorder="1" applyAlignment="1">
      <alignment horizontal="right" vertical="top" wrapText="1"/>
    </xf>
    <xf numFmtId="1" fontId="3" fillId="34" borderId="1" xfId="41" applyNumberFormat="1" applyFont="1" applyFill="1" applyBorder="1" applyAlignment="1">
      <alignment vertical="top" wrapText="1"/>
    </xf>
    <xf numFmtId="1" fontId="3" fillId="34" borderId="1" xfId="73" applyNumberFormat="1" applyFont="1" applyFill="1" applyBorder="1" applyAlignment="1">
      <alignment vertical="top"/>
    </xf>
    <xf numFmtId="1" fontId="3" fillId="34" borderId="1" xfId="49" applyNumberFormat="1" applyFont="1" applyFill="1" applyBorder="1" applyAlignment="1">
      <alignment vertical="top" wrapText="1"/>
    </xf>
    <xf numFmtId="167" fontId="3" fillId="34" borderId="1" xfId="73" applyNumberFormat="1" applyFont="1" applyFill="1" applyBorder="1" applyAlignment="1">
      <alignment vertical="top"/>
    </xf>
    <xf numFmtId="0" fontId="3" fillId="34" borderId="1" xfId="73" applyFont="1" applyFill="1" applyBorder="1" applyAlignment="1">
      <alignment horizontal="left" vertical="top" wrapText="1"/>
    </xf>
    <xf numFmtId="0" fontId="3" fillId="34" borderId="1" xfId="73" applyFont="1" applyFill="1" applyBorder="1" applyAlignment="1">
      <alignment horizontal="center" vertical="top" wrapText="1"/>
    </xf>
    <xf numFmtId="166" fontId="3" fillId="34" borderId="1" xfId="41" applyFont="1" applyFill="1" applyBorder="1" applyAlignment="1">
      <alignment horizontal="right" vertical="top" wrapText="1"/>
    </xf>
    <xf numFmtId="0" fontId="49" fillId="34" borderId="58" xfId="65" applyFont="1" applyFill="1" applyBorder="1" applyAlignment="1">
      <alignment vertical="top"/>
    </xf>
    <xf numFmtId="166" fontId="3" fillId="34" borderId="3" xfId="41" applyFont="1" applyFill="1" applyBorder="1" applyAlignment="1">
      <alignment vertical="top"/>
    </xf>
    <xf numFmtId="0" fontId="49" fillId="34" borderId="1" xfId="65" applyFont="1" applyFill="1" applyBorder="1" applyAlignment="1">
      <alignment vertical="top"/>
    </xf>
    <xf numFmtId="1" fontId="3" fillId="34" borderId="1" xfId="41" applyNumberFormat="1" applyFont="1" applyFill="1" applyBorder="1" applyAlignment="1">
      <alignment horizontal="right" vertical="top" wrapText="1"/>
    </xf>
    <xf numFmtId="1" fontId="3" fillId="34" borderId="1" xfId="73" applyNumberFormat="1" applyFont="1" applyFill="1" applyBorder="1" applyAlignment="1">
      <alignment horizontal="right" vertical="top" wrapText="1"/>
    </xf>
    <xf numFmtId="1" fontId="3" fillId="34" borderId="1" xfId="73" applyNumberFormat="1" applyFont="1" applyFill="1" applyBorder="1" applyAlignment="1">
      <alignment vertical="top" wrapText="1"/>
    </xf>
    <xf numFmtId="166" fontId="3" fillId="34" borderId="1" xfId="29" applyFont="1" applyFill="1" applyBorder="1" applyAlignment="1">
      <alignment vertical="top"/>
    </xf>
    <xf numFmtId="166" fontId="3" fillId="34" borderId="1" xfId="29" applyFont="1" applyFill="1" applyBorder="1" applyAlignment="1">
      <alignment vertical="top" wrapText="1"/>
    </xf>
    <xf numFmtId="0" fontId="2" fillId="34" borderId="1" xfId="73" applyFont="1" applyFill="1" applyBorder="1" applyAlignment="1">
      <alignment vertical="top"/>
    </xf>
    <xf numFmtId="1" fontId="3" fillId="34" borderId="1" xfId="29" applyNumberFormat="1" applyFont="1" applyFill="1" applyBorder="1" applyAlignment="1">
      <alignment vertical="top" wrapText="1"/>
    </xf>
    <xf numFmtId="0" fontId="2" fillId="34" borderId="1" xfId="73" applyFont="1" applyFill="1" applyBorder="1" applyAlignment="1">
      <alignment horizontal="left" vertical="top" wrapText="1"/>
    </xf>
    <xf numFmtId="0" fontId="3" fillId="34" borderId="1" xfId="73" applyFont="1" applyFill="1" applyBorder="1" applyAlignment="1">
      <alignment horizontal="right" vertical="top" wrapText="1"/>
    </xf>
    <xf numFmtId="166" fontId="2" fillId="34" borderId="1" xfId="41" applyNumberFormat="1" applyFont="1" applyFill="1" applyBorder="1" applyAlignment="1">
      <alignment horizontal="center" vertical="top" wrapText="1"/>
    </xf>
    <xf numFmtId="172" fontId="2" fillId="34" borderId="1" xfId="41" applyNumberFormat="1" applyFont="1" applyFill="1" applyBorder="1" applyAlignment="1">
      <alignment horizontal="right" vertical="top" wrapText="1"/>
    </xf>
    <xf numFmtId="172" fontId="2" fillId="34" borderId="1" xfId="41" applyNumberFormat="1" applyFont="1" applyFill="1" applyBorder="1" applyAlignment="1">
      <alignment vertical="top" wrapText="1"/>
    </xf>
    <xf numFmtId="166" fontId="2" fillId="34" borderId="1" xfId="41" applyFont="1" applyFill="1" applyBorder="1" applyAlignment="1">
      <alignment horizontal="right" vertical="top" wrapText="1"/>
    </xf>
    <xf numFmtId="1" fontId="2" fillId="34" borderId="1" xfId="41" applyNumberFormat="1" applyFont="1" applyFill="1" applyBorder="1" applyAlignment="1">
      <alignment horizontal="right" vertical="top" wrapText="1"/>
    </xf>
    <xf numFmtId="1" fontId="2" fillId="34" borderId="1" xfId="73" applyNumberFormat="1" applyFont="1" applyFill="1" applyBorder="1" applyAlignment="1">
      <alignment vertical="top"/>
    </xf>
    <xf numFmtId="1" fontId="2" fillId="0" borderId="1" xfId="41" applyNumberFormat="1" applyFont="1" applyFill="1" applyBorder="1" applyAlignment="1">
      <alignment horizontal="right" vertical="top" wrapText="1"/>
    </xf>
    <xf numFmtId="1" fontId="2" fillId="0" borderId="1" xfId="73" applyNumberFormat="1" applyFont="1" applyFill="1" applyBorder="1" applyAlignment="1">
      <alignment vertical="top"/>
    </xf>
    <xf numFmtId="0" fontId="2" fillId="35" borderId="1" xfId="73" applyFont="1" applyFill="1" applyBorder="1" applyAlignment="1">
      <alignment vertical="top" wrapText="1"/>
    </xf>
    <xf numFmtId="1" fontId="3" fillId="0" borderId="1" xfId="41" applyNumberFormat="1" applyFont="1" applyFill="1" applyBorder="1" applyAlignment="1">
      <alignment horizontal="right" vertical="top" wrapText="1"/>
    </xf>
    <xf numFmtId="1" fontId="3" fillId="0" borderId="1" xfId="73" applyNumberFormat="1" applyFont="1" applyFill="1" applyBorder="1" applyAlignment="1">
      <alignment vertical="top"/>
    </xf>
    <xf numFmtId="0" fontId="3" fillId="35" borderId="1" xfId="73" applyFont="1" applyFill="1" applyBorder="1" applyAlignment="1">
      <alignment vertical="top" wrapText="1"/>
    </xf>
    <xf numFmtId="166" fontId="2" fillId="34" borderId="1" xfId="41" applyNumberFormat="1" applyFont="1" applyFill="1" applyBorder="1" applyAlignment="1">
      <alignment horizontal="right" vertical="top" wrapText="1"/>
    </xf>
    <xf numFmtId="0" fontId="3" fillId="34" borderId="7" xfId="73" applyFont="1" applyFill="1" applyBorder="1" applyAlignment="1">
      <alignment vertical="top" wrapText="1"/>
    </xf>
    <xf numFmtId="0" fontId="3" fillId="0" borderId="59" xfId="73" applyFont="1" applyFill="1" applyBorder="1" applyAlignment="1">
      <alignment horizontal="left" vertical="top" wrapText="1"/>
    </xf>
    <xf numFmtId="0" fontId="3" fillId="0" borderId="18" xfId="73" applyFont="1" applyFill="1" applyBorder="1" applyAlignment="1">
      <alignment horizontal="left" vertical="top" wrapText="1"/>
    </xf>
    <xf numFmtId="0" fontId="3" fillId="34" borderId="4" xfId="0" applyFont="1" applyFill="1" applyBorder="1" applyAlignment="1">
      <alignment horizontal="left" vertical="top" wrapText="1"/>
    </xf>
    <xf numFmtId="0" fontId="42" fillId="0" borderId="0" xfId="0" applyFont="1" applyAlignment="1">
      <alignment vertical="top" wrapText="1"/>
    </xf>
    <xf numFmtId="0" fontId="45" fillId="0" borderId="0" xfId="0" applyFont="1"/>
    <xf numFmtId="0" fontId="7" fillId="34" borderId="26" xfId="63" applyFont="1" applyFill="1" applyBorder="1" applyAlignment="1">
      <alignment horizontal="left" vertical="top"/>
    </xf>
    <xf numFmtId="0" fontId="48" fillId="36" borderId="93" xfId="0" applyFont="1" applyFill="1" applyBorder="1" applyAlignment="1">
      <alignment vertical="center" wrapText="1"/>
    </xf>
    <xf numFmtId="174" fontId="48" fillId="36" borderId="93" xfId="0" applyNumberFormat="1" applyFont="1" applyFill="1" applyBorder="1" applyAlignment="1">
      <alignment vertical="center" wrapText="1"/>
    </xf>
    <xf numFmtId="174" fontId="48" fillId="36" borderId="93" xfId="0" applyNumberFormat="1" applyFont="1" applyFill="1" applyBorder="1" applyAlignment="1">
      <alignment vertical="center"/>
    </xf>
    <xf numFmtId="0" fontId="48" fillId="34" borderId="93" xfId="0" applyFont="1" applyFill="1" applyBorder="1" applyAlignment="1">
      <alignment vertical="top" wrapText="1"/>
    </xf>
    <xf numFmtId="0" fontId="46" fillId="34" borderId="93" xfId="0" applyFont="1" applyFill="1" applyBorder="1" applyAlignment="1">
      <alignment vertical="top" wrapText="1"/>
    </xf>
    <xf numFmtId="170" fontId="46" fillId="34" borderId="93" xfId="28" applyNumberFormat="1" applyFont="1" applyFill="1" applyBorder="1" applyAlignment="1">
      <alignment vertical="top" wrapText="1"/>
    </xf>
    <xf numFmtId="174" fontId="46" fillId="34" borderId="93" xfId="0" applyNumberFormat="1" applyFont="1" applyFill="1" applyBorder="1" applyAlignment="1">
      <alignment vertical="top" wrapText="1"/>
    </xf>
    <xf numFmtId="174" fontId="46" fillId="34" borderId="93" xfId="0" applyNumberFormat="1" applyFont="1" applyFill="1" applyBorder="1" applyAlignment="1">
      <alignment vertical="top"/>
    </xf>
    <xf numFmtId="0" fontId="48" fillId="34" borderId="94" xfId="0" applyFont="1" applyFill="1" applyBorder="1" applyAlignment="1">
      <alignment vertical="top" wrapText="1"/>
    </xf>
    <xf numFmtId="0" fontId="46" fillId="34" borderId="94" xfId="0" applyFont="1" applyFill="1" applyBorder="1" applyAlignment="1">
      <alignment vertical="top" wrapText="1"/>
    </xf>
    <xf numFmtId="174" fontId="46" fillId="34" borderId="94" xfId="0" applyNumberFormat="1" applyFont="1" applyFill="1" applyBorder="1" applyAlignment="1">
      <alignment vertical="top" wrapText="1"/>
    </xf>
    <xf numFmtId="0" fontId="46" fillId="34" borderId="1" xfId="0" applyFont="1" applyFill="1" applyBorder="1" applyAlignment="1">
      <alignment vertical="top" wrapText="1"/>
    </xf>
    <xf numFmtId="174" fontId="46" fillId="34" borderId="1" xfId="0" applyNumberFormat="1" applyFont="1" applyFill="1" applyBorder="1" applyAlignment="1">
      <alignment vertical="top" wrapText="1"/>
    </xf>
    <xf numFmtId="174" fontId="46" fillId="34" borderId="1" xfId="0" applyNumberFormat="1" applyFont="1" applyFill="1" applyBorder="1" applyAlignment="1">
      <alignment vertical="top"/>
    </xf>
    <xf numFmtId="0" fontId="46" fillId="34" borderId="93" xfId="0" applyFont="1" applyFill="1" applyBorder="1"/>
    <xf numFmtId="0" fontId="46" fillId="34" borderId="93" xfId="0" applyFont="1" applyFill="1" applyBorder="1" applyAlignment="1">
      <alignment vertical="top"/>
    </xf>
    <xf numFmtId="170" fontId="46" fillId="34" borderId="93" xfId="28" applyNumberFormat="1" applyFont="1" applyFill="1" applyBorder="1" applyAlignment="1">
      <alignment vertical="top"/>
    </xf>
    <xf numFmtId="167" fontId="3" fillId="34" borderId="93" xfId="28" applyFont="1" applyFill="1" applyBorder="1" applyAlignment="1">
      <alignment vertical="top"/>
    </xf>
    <xf numFmtId="0" fontId="5" fillId="34" borderId="26" xfId="63" applyFont="1" applyFill="1" applyBorder="1" applyAlignment="1">
      <alignment horizontal="left" vertical="top"/>
    </xf>
    <xf numFmtId="174" fontId="46" fillId="34" borderId="95" xfId="0" applyNumberFormat="1" applyFont="1" applyFill="1" applyBorder="1" applyAlignment="1">
      <alignment horizontal="right" vertical="top" wrapText="1"/>
    </xf>
    <xf numFmtId="174" fontId="46" fillId="34" borderId="95" xfId="0" applyNumberFormat="1" applyFont="1" applyFill="1" applyBorder="1" applyAlignment="1">
      <alignment horizontal="right" vertical="top"/>
    </xf>
    <xf numFmtId="167" fontId="46" fillId="34" borderId="93" xfId="28" applyFont="1" applyFill="1" applyBorder="1" applyAlignment="1">
      <alignment vertical="top" wrapText="1"/>
    </xf>
    <xf numFmtId="174" fontId="46" fillId="34" borderId="94" xfId="0" applyNumberFormat="1" applyFont="1" applyFill="1" applyBorder="1" applyAlignment="1">
      <alignment vertical="top"/>
    </xf>
    <xf numFmtId="174" fontId="46" fillId="34" borderId="95" xfId="0" applyNumberFormat="1" applyFont="1" applyFill="1" applyBorder="1" applyAlignment="1">
      <alignment vertical="top" wrapText="1"/>
    </xf>
    <xf numFmtId="174" fontId="46" fillId="34" borderId="95" xfId="0" applyNumberFormat="1" applyFont="1" applyFill="1" applyBorder="1" applyAlignment="1">
      <alignment vertical="top"/>
    </xf>
    <xf numFmtId="0" fontId="42" fillId="0" borderId="0" xfId="0" applyFont="1" applyAlignment="1">
      <alignment wrapText="1"/>
    </xf>
    <xf numFmtId="0" fontId="3" fillId="34" borderId="53" xfId="0" applyFont="1" applyFill="1" applyBorder="1" applyAlignment="1">
      <alignment vertical="top" wrapText="1"/>
    </xf>
    <xf numFmtId="0" fontId="3" fillId="34" borderId="23" xfId="0" applyFont="1" applyFill="1" applyBorder="1" applyAlignment="1">
      <alignment vertical="top" wrapText="1"/>
    </xf>
    <xf numFmtId="0" fontId="3" fillId="34" borderId="0" xfId="0" applyFont="1" applyFill="1" applyAlignment="1">
      <alignment vertical="top" wrapText="1"/>
    </xf>
    <xf numFmtId="0" fontId="6" fillId="34" borderId="9" xfId="68" applyFont="1" applyFill="1" applyBorder="1" applyAlignment="1">
      <alignment vertical="top" wrapText="1"/>
    </xf>
    <xf numFmtId="0" fontId="6" fillId="34" borderId="4" xfId="68" applyFont="1" applyFill="1" applyBorder="1" applyAlignment="1">
      <alignment vertical="top" wrapText="1"/>
    </xf>
    <xf numFmtId="166" fontId="47" fillId="0" borderId="1" xfId="74" applyNumberFormat="1" applyFont="1" applyFill="1" applyBorder="1" applyAlignment="1">
      <alignment vertical="top" wrapText="1"/>
    </xf>
    <xf numFmtId="166" fontId="47" fillId="0" borderId="1" xfId="50" applyNumberFormat="1" applyFont="1" applyFill="1" applyBorder="1" applyAlignment="1">
      <alignment vertical="top" wrapText="1"/>
    </xf>
    <xf numFmtId="166" fontId="47" fillId="0" borderId="1" xfId="30" applyFont="1" applyFill="1" applyBorder="1" applyAlignment="1">
      <alignment horizontal="center" vertical="top" wrapText="1"/>
    </xf>
    <xf numFmtId="0" fontId="47" fillId="0" borderId="1" xfId="74" applyFont="1" applyFill="1" applyBorder="1" applyAlignment="1">
      <alignment vertical="top" wrapText="1"/>
    </xf>
    <xf numFmtId="166" fontId="47" fillId="0" borderId="1" xfId="74" applyNumberFormat="1" applyFont="1" applyFill="1" applyBorder="1" applyAlignment="1">
      <alignment horizontal="center" vertical="top" wrapText="1"/>
    </xf>
    <xf numFmtId="177" fontId="47" fillId="0" borderId="1" xfId="74" applyNumberFormat="1" applyFont="1" applyFill="1" applyBorder="1" applyAlignment="1">
      <alignment vertical="top" wrapText="1"/>
    </xf>
    <xf numFmtId="166" fontId="47" fillId="0" borderId="1" xfId="30" applyFont="1" applyFill="1" applyBorder="1" applyAlignment="1">
      <alignment vertical="top" wrapText="1"/>
    </xf>
    <xf numFmtId="0" fontId="47" fillId="0" borderId="1" xfId="74" quotePrefix="1" applyFont="1" applyFill="1" applyBorder="1" applyAlignment="1">
      <alignment vertical="top" wrapText="1"/>
    </xf>
    <xf numFmtId="166" fontId="47" fillId="0" borderId="3" xfId="50" quotePrefix="1" applyNumberFormat="1" applyFont="1" applyFill="1" applyBorder="1" applyAlignment="1">
      <alignment vertical="top" wrapText="1"/>
    </xf>
    <xf numFmtId="166" fontId="47" fillId="0" borderId="3" xfId="50" applyNumberFormat="1" applyFont="1" applyFill="1" applyBorder="1" applyAlignment="1">
      <alignment vertical="top" wrapText="1"/>
    </xf>
    <xf numFmtId="0" fontId="3" fillId="35" borderId="9" xfId="74" applyFont="1" applyFill="1" applyBorder="1" applyAlignment="1">
      <alignment vertical="top" wrapText="1"/>
    </xf>
    <xf numFmtId="0" fontId="3" fillId="35" borderId="4" xfId="74" applyFont="1" applyFill="1" applyBorder="1" applyAlignment="1">
      <alignment vertical="top" wrapText="1"/>
    </xf>
    <xf numFmtId="0" fontId="2" fillId="35" borderId="4" xfId="74" applyFont="1" applyFill="1" applyBorder="1" applyAlignment="1">
      <alignment vertical="top" wrapText="1"/>
    </xf>
    <xf numFmtId="0" fontId="2" fillId="35" borderId="1" xfId="74" applyFont="1" applyFill="1" applyBorder="1" applyAlignment="1">
      <alignment vertical="top" wrapText="1"/>
    </xf>
    <xf numFmtId="0" fontId="2" fillId="35" borderId="1" xfId="74" applyFont="1" applyFill="1" applyBorder="1" applyAlignment="1">
      <alignment horizontal="center" vertical="top" wrapText="1"/>
    </xf>
    <xf numFmtId="166" fontId="2" fillId="35" borderId="1" xfId="74" applyNumberFormat="1" applyFont="1" applyFill="1" applyBorder="1" applyAlignment="1">
      <alignment horizontal="right" vertical="top"/>
    </xf>
    <xf numFmtId="166" fontId="2" fillId="35" borderId="1" xfId="74" applyNumberFormat="1" applyFont="1" applyFill="1" applyBorder="1" applyAlignment="1">
      <alignment horizontal="center" vertical="top"/>
    </xf>
    <xf numFmtId="166" fontId="2" fillId="35" borderId="1" xfId="50" applyNumberFormat="1" applyFont="1" applyFill="1" applyBorder="1" applyAlignment="1">
      <alignment vertical="top" wrapText="1"/>
    </xf>
    <xf numFmtId="166" fontId="2" fillId="35" borderId="1" xfId="30" applyFont="1" applyFill="1" applyBorder="1" applyAlignment="1">
      <alignment horizontal="center" vertical="top" wrapText="1"/>
    </xf>
    <xf numFmtId="166" fontId="2" fillId="35" borderId="6" xfId="30" applyFont="1" applyFill="1" applyBorder="1" applyAlignment="1">
      <alignment horizontal="center" vertical="top" wrapText="1"/>
    </xf>
    <xf numFmtId="0" fontId="3" fillId="35" borderId="0" xfId="0" applyFont="1" applyFill="1"/>
    <xf numFmtId="0" fontId="2" fillId="35" borderId="3" xfId="74" applyFont="1" applyFill="1" applyBorder="1" applyAlignment="1">
      <alignment vertical="top" wrapText="1"/>
    </xf>
    <xf numFmtId="166" fontId="3" fillId="0" borderId="6" xfId="30" applyFont="1" applyFill="1" applyBorder="1" applyAlignment="1">
      <alignment horizontal="left" vertical="top" wrapText="1"/>
    </xf>
    <xf numFmtId="0" fontId="47" fillId="0" borderId="1" xfId="74" applyFont="1" applyFill="1" applyBorder="1" applyAlignment="1">
      <alignment horizontal="center" vertical="top" wrapText="1"/>
    </xf>
    <xf numFmtId="166" fontId="2" fillId="35" borderId="3" xfId="50" applyNumberFormat="1" applyFont="1" applyFill="1" applyBorder="1" applyAlignment="1">
      <alignment vertical="top" wrapText="1"/>
    </xf>
    <xf numFmtId="166" fontId="2" fillId="35" borderId="5" xfId="50" applyNumberFormat="1" applyFont="1" applyFill="1" applyBorder="1" applyAlignment="1">
      <alignment vertical="top" wrapText="1"/>
    </xf>
    <xf numFmtId="166" fontId="2" fillId="35" borderId="6" xfId="30" applyFont="1" applyFill="1" applyBorder="1" applyAlignment="1">
      <alignment horizontal="left" vertical="top" wrapText="1"/>
    </xf>
    <xf numFmtId="0" fontId="47" fillId="0" borderId="1" xfId="74" applyFont="1" applyFill="1" applyBorder="1" applyAlignment="1">
      <alignment horizontal="right" vertical="top" wrapText="1"/>
    </xf>
    <xf numFmtId="166" fontId="47" fillId="0" borderId="1" xfId="30" quotePrefix="1" applyFont="1" applyFill="1" applyBorder="1" applyAlignment="1">
      <alignment vertical="top" wrapText="1"/>
    </xf>
    <xf numFmtId="166" fontId="47" fillId="0" borderId="4" xfId="50" applyNumberFormat="1" applyFont="1" applyFill="1" applyBorder="1" applyAlignment="1">
      <alignment vertical="top" wrapText="1"/>
    </xf>
    <xf numFmtId="166" fontId="47" fillId="0" borderId="4" xfId="30" applyFont="1" applyFill="1" applyBorder="1" applyAlignment="1">
      <alignment vertical="top" wrapText="1"/>
    </xf>
    <xf numFmtId="166" fontId="47" fillId="0" borderId="1" xfId="30" applyFont="1" applyFill="1" applyBorder="1" applyAlignment="1">
      <alignment horizontal="right" vertical="top" wrapText="1"/>
    </xf>
    <xf numFmtId="166" fontId="47" fillId="0" borderId="5" xfId="30" applyFont="1" applyFill="1" applyBorder="1" applyAlignment="1">
      <alignment vertical="top" wrapText="1"/>
    </xf>
    <xf numFmtId="0" fontId="47" fillId="34" borderId="3" xfId="74" applyFont="1" applyFill="1" applyBorder="1" applyAlignment="1">
      <alignment horizontal="left" vertical="top" wrapText="1"/>
    </xf>
    <xf numFmtId="166" fontId="47" fillId="0" borderId="3" xfId="30" applyFont="1" applyFill="1" applyBorder="1" applyAlignment="1">
      <alignment vertical="top" wrapText="1"/>
    </xf>
    <xf numFmtId="166" fontId="2" fillId="35" borderId="1" xfId="30" applyFont="1" applyFill="1" applyBorder="1" applyAlignment="1">
      <alignment vertical="top" wrapText="1"/>
    </xf>
    <xf numFmtId="0" fontId="2" fillId="35" borderId="5" xfId="74" applyFont="1" applyFill="1" applyBorder="1" applyAlignment="1">
      <alignment vertical="top" wrapText="1"/>
    </xf>
    <xf numFmtId="0" fontId="3" fillId="37" borderId="0" xfId="0" applyFont="1" applyFill="1"/>
    <xf numFmtId="0" fontId="42" fillId="34" borderId="26" xfId="67" applyFont="1" applyFill="1" applyBorder="1" applyAlignment="1">
      <alignment horizontal="left" vertical="top" wrapText="1"/>
    </xf>
    <xf numFmtId="0" fontId="3" fillId="34" borderId="0" xfId="0" applyFont="1" applyFill="1" applyAlignment="1">
      <alignment vertical="top"/>
    </xf>
    <xf numFmtId="0" fontId="3" fillId="34" borderId="0" xfId="0" applyFont="1" applyFill="1" applyAlignment="1">
      <alignment horizontal="center" vertical="top"/>
    </xf>
    <xf numFmtId="172" fontId="3" fillId="34" borderId="0" xfId="0" applyNumberFormat="1" applyFont="1" applyFill="1" applyAlignment="1">
      <alignment horizontal="right" vertical="top"/>
    </xf>
    <xf numFmtId="166" fontId="3" fillId="34" borderId="0" xfId="0" applyNumberFormat="1" applyFont="1" applyFill="1" applyAlignment="1">
      <alignment horizontal="right" vertical="top"/>
    </xf>
    <xf numFmtId="172" fontId="3" fillId="34" borderId="0" xfId="29" applyNumberFormat="1" applyFont="1" applyFill="1" applyAlignment="1">
      <alignment horizontal="right" vertical="top"/>
    </xf>
    <xf numFmtId="0" fontId="3" fillId="34" borderId="0" xfId="0" applyFont="1" applyFill="1" applyAlignment="1">
      <alignment horizontal="centerContinuous" vertical="top" wrapText="1"/>
    </xf>
    <xf numFmtId="0" fontId="3" fillId="34" borderId="4" xfId="0" applyFont="1" applyFill="1" applyBorder="1" applyAlignment="1">
      <alignment horizontal="center" vertical="top" wrapText="1"/>
    </xf>
    <xf numFmtId="172" fontId="3" fillId="34" borderId="1" xfId="0" applyNumberFormat="1" applyFont="1" applyFill="1" applyBorder="1" applyAlignment="1">
      <alignment horizontal="right" vertical="top" wrapText="1"/>
    </xf>
    <xf numFmtId="166" fontId="3" fillId="34" borderId="1" xfId="0" applyNumberFormat="1" applyFont="1" applyFill="1" applyBorder="1" applyAlignment="1">
      <alignment horizontal="right" vertical="top" wrapText="1"/>
    </xf>
    <xf numFmtId="166" fontId="3" fillId="34" borderId="1" xfId="30" applyNumberFormat="1" applyFont="1" applyFill="1" applyBorder="1" applyAlignment="1">
      <alignment horizontal="right" vertical="top" wrapText="1"/>
    </xf>
    <xf numFmtId="172" fontId="3" fillId="34" borderId="1" xfId="80" applyNumberFormat="1" applyFont="1" applyFill="1" applyBorder="1" applyAlignment="1">
      <alignment horizontal="right" vertical="top" wrapText="1"/>
    </xf>
    <xf numFmtId="0" fontId="3" fillId="34" borderId="1" xfId="0" applyFont="1" applyFill="1" applyBorder="1" applyAlignment="1">
      <alignment horizontal="center" vertical="top"/>
    </xf>
    <xf numFmtId="166" fontId="3" fillId="34" borderId="1" xfId="30" applyFont="1" applyFill="1" applyBorder="1" applyAlignment="1">
      <alignment horizontal="center" vertical="top" wrapText="1"/>
    </xf>
    <xf numFmtId="1" fontId="3" fillId="34" borderId="1" xfId="0" applyNumberFormat="1" applyFont="1" applyFill="1" applyBorder="1" applyAlignment="1">
      <alignment horizontal="center" vertical="top"/>
    </xf>
    <xf numFmtId="2" fontId="3" fillId="34" borderId="1" xfId="0" applyNumberFormat="1" applyFont="1" applyFill="1" applyBorder="1" applyAlignment="1">
      <alignment horizontal="center" vertical="top"/>
    </xf>
    <xf numFmtId="0" fontId="3" fillId="34" borderId="5" xfId="0" applyFont="1" applyFill="1" applyBorder="1" applyAlignment="1">
      <alignment horizontal="center" vertical="top" wrapText="1"/>
    </xf>
    <xf numFmtId="172" fontId="3" fillId="34" borderId="1" xfId="30" applyNumberFormat="1" applyFont="1" applyFill="1" applyBorder="1" applyAlignment="1">
      <alignment horizontal="right" vertical="top" wrapText="1"/>
    </xf>
    <xf numFmtId="166" fontId="3" fillId="34" borderId="1" xfId="80" applyNumberFormat="1" applyFont="1" applyFill="1" applyBorder="1" applyAlignment="1">
      <alignment horizontal="right" vertical="top" wrapText="1"/>
    </xf>
    <xf numFmtId="166" fontId="3" fillId="34" borderId="1" xfId="0" applyNumberFormat="1" applyFont="1" applyFill="1" applyBorder="1" applyAlignment="1">
      <alignment horizontal="left" vertical="top" wrapText="1"/>
    </xf>
    <xf numFmtId="0" fontId="3" fillId="34" borderId="6" xfId="0" applyFont="1" applyFill="1" applyBorder="1" applyAlignment="1">
      <alignment horizontal="center" vertical="top" wrapText="1"/>
    </xf>
    <xf numFmtId="173" fontId="3" fillId="34" borderId="1" xfId="0" applyNumberFormat="1" applyFont="1" applyFill="1" applyBorder="1" applyAlignment="1">
      <alignment horizontal="right" vertical="top" wrapText="1"/>
    </xf>
    <xf numFmtId="0" fontId="3" fillId="34" borderId="6" xfId="0" applyFont="1" applyFill="1" applyBorder="1" applyAlignment="1">
      <alignment vertical="top" wrapText="1"/>
    </xf>
    <xf numFmtId="172" fontId="3" fillId="34" borderId="1" xfId="0" applyNumberFormat="1" applyFont="1" applyFill="1" applyBorder="1" applyAlignment="1">
      <alignment horizontal="right" vertical="top"/>
    </xf>
    <xf numFmtId="172" fontId="3" fillId="34" borderId="1" xfId="29" applyNumberFormat="1" applyFont="1" applyFill="1" applyBorder="1" applyAlignment="1">
      <alignment horizontal="right" vertical="top"/>
    </xf>
    <xf numFmtId="167" fontId="3" fillId="34" borderId="1" xfId="28" applyNumberFormat="1" applyFont="1" applyFill="1" applyBorder="1" applyAlignment="1">
      <alignment horizontal="center" vertical="top" wrapText="1"/>
    </xf>
    <xf numFmtId="172" fontId="3" fillId="34" borderId="1" xfId="29" applyNumberFormat="1" applyFont="1" applyFill="1" applyBorder="1" applyAlignment="1">
      <alignment horizontal="center" vertical="top" wrapText="1"/>
    </xf>
    <xf numFmtId="0" fontId="12" fillId="34" borderId="1" xfId="0" applyFont="1" applyFill="1" applyBorder="1" applyAlignment="1">
      <alignment horizontal="center" vertical="top" wrapText="1"/>
    </xf>
    <xf numFmtId="166" fontId="3" fillId="34" borderId="1" xfId="29" applyNumberFormat="1" applyFont="1" applyFill="1" applyBorder="1" applyAlignment="1">
      <alignment horizontal="right" vertical="top"/>
    </xf>
    <xf numFmtId="166" fontId="3" fillId="34" borderId="1" xfId="28" applyNumberFormat="1" applyFont="1" applyFill="1" applyBorder="1" applyAlignment="1">
      <alignment horizontal="right" vertical="top" wrapText="1"/>
    </xf>
    <xf numFmtId="9" fontId="3" fillId="34" borderId="1" xfId="0" applyNumberFormat="1" applyFont="1" applyFill="1" applyBorder="1" applyAlignment="1">
      <alignment horizontal="center" vertical="top" wrapText="1"/>
    </xf>
    <xf numFmtId="0" fontId="3" fillId="34" borderId="1" xfId="75" applyFont="1" applyFill="1" applyBorder="1" applyAlignment="1">
      <alignment horizontal="center" vertical="top" wrapText="1"/>
    </xf>
    <xf numFmtId="172" fontId="3" fillId="34" borderId="1" xfId="29" quotePrefix="1" applyNumberFormat="1" applyFont="1" applyFill="1" applyBorder="1" applyAlignment="1">
      <alignment horizontal="right" vertical="top" wrapText="1"/>
    </xf>
    <xf numFmtId="166" fontId="3" fillId="34" borderId="1" xfId="0" applyNumberFormat="1" applyFont="1" applyFill="1" applyBorder="1" applyAlignment="1">
      <alignment horizontal="right" vertical="top"/>
    </xf>
    <xf numFmtId="0" fontId="3" fillId="34" borderId="6" xfId="0" applyFont="1" applyFill="1" applyBorder="1" applyAlignment="1">
      <alignment vertical="top"/>
    </xf>
    <xf numFmtId="0" fontId="3" fillId="34" borderId="5" xfId="0" applyFont="1" applyFill="1" applyBorder="1" applyAlignment="1">
      <alignment vertical="top"/>
    </xf>
    <xf numFmtId="0" fontId="3" fillId="34" borderId="5" xfId="0" applyFont="1" applyFill="1" applyBorder="1" applyAlignment="1">
      <alignment horizontal="center" vertical="top"/>
    </xf>
    <xf numFmtId="172" fontId="3" fillId="34" borderId="5" xfId="0" applyNumberFormat="1" applyFont="1" applyFill="1" applyBorder="1" applyAlignment="1">
      <alignment horizontal="right" vertical="top"/>
    </xf>
    <xf numFmtId="166" fontId="3" fillId="34" borderId="5" xfId="0" applyNumberFormat="1" applyFont="1" applyFill="1" applyBorder="1" applyAlignment="1">
      <alignment horizontal="right" vertical="top"/>
    </xf>
    <xf numFmtId="172" fontId="3" fillId="34" borderId="5" xfId="29" applyNumberFormat="1" applyFont="1" applyFill="1" applyBorder="1" applyAlignment="1">
      <alignment horizontal="right" vertical="top"/>
    </xf>
    <xf numFmtId="0" fontId="3" fillId="34" borderId="12" xfId="0" applyFont="1" applyFill="1" applyBorder="1" applyAlignment="1">
      <alignment vertical="top"/>
    </xf>
    <xf numFmtId="0" fontId="3" fillId="34" borderId="1" xfId="65" applyFont="1" applyFill="1" applyBorder="1" applyAlignment="1">
      <alignment horizontal="center" vertical="top"/>
    </xf>
    <xf numFmtId="172" fontId="3" fillId="34" borderId="1" xfId="65" applyNumberFormat="1" applyFont="1" applyFill="1" applyBorder="1" applyAlignment="1">
      <alignment horizontal="right" vertical="top"/>
    </xf>
    <xf numFmtId="172" fontId="3" fillId="34" borderId="1" xfId="65" applyNumberFormat="1" applyFont="1" applyFill="1" applyBorder="1" applyAlignment="1">
      <alignment horizontal="right" vertical="top" wrapText="1"/>
    </xf>
    <xf numFmtId="0" fontId="3" fillId="34" borderId="10" xfId="65" applyFont="1" applyFill="1" applyBorder="1" applyAlignment="1">
      <alignment vertical="top"/>
    </xf>
    <xf numFmtId="0" fontId="3" fillId="34" borderId="18" xfId="65" applyFont="1" applyFill="1" applyBorder="1" applyAlignment="1">
      <alignment vertical="top"/>
    </xf>
    <xf numFmtId="0" fontId="3" fillId="34" borderId="1" xfId="65" applyFont="1" applyFill="1" applyBorder="1" applyAlignment="1">
      <alignment vertical="top"/>
    </xf>
    <xf numFmtId="0" fontId="3" fillId="34" borderId="6" xfId="65" applyFont="1" applyFill="1" applyBorder="1" applyAlignment="1">
      <alignment horizontal="center" vertical="top"/>
    </xf>
    <xf numFmtId="0" fontId="3" fillId="34" borderId="1" xfId="35" applyNumberFormat="1" applyFont="1" applyFill="1" applyBorder="1" applyAlignment="1">
      <alignment vertical="top" wrapText="1"/>
    </xf>
    <xf numFmtId="0" fontId="3" fillId="34" borderId="1" xfId="35" applyNumberFormat="1" applyFont="1" applyFill="1" applyBorder="1" applyAlignment="1">
      <alignment horizontal="center" vertical="top" wrapText="1"/>
    </xf>
    <xf numFmtId="172" fontId="3" fillId="34" borderId="1" xfId="35" applyNumberFormat="1" applyFont="1" applyFill="1" applyBorder="1" applyAlignment="1">
      <alignment horizontal="right" vertical="top"/>
    </xf>
    <xf numFmtId="172" fontId="3" fillId="34" borderId="1" xfId="35" applyNumberFormat="1" applyFont="1" applyFill="1" applyBorder="1" applyAlignment="1">
      <alignment horizontal="right" vertical="top" wrapText="1"/>
    </xf>
    <xf numFmtId="166" fontId="3" fillId="34" borderId="1" xfId="35" applyNumberFormat="1" applyFont="1" applyFill="1" applyBorder="1" applyAlignment="1">
      <alignment horizontal="right" vertical="top"/>
    </xf>
    <xf numFmtId="0" fontId="3" fillId="34" borderId="1" xfId="35" applyNumberFormat="1" applyFont="1" applyFill="1" applyBorder="1" applyAlignment="1">
      <alignment horizontal="left" vertical="top" wrapText="1"/>
    </xf>
    <xf numFmtId="49" fontId="3" fillId="34" borderId="4" xfId="68" applyNumberFormat="1" applyFont="1" applyFill="1" applyBorder="1" applyAlignment="1">
      <alignment vertical="top" wrapText="1"/>
    </xf>
    <xf numFmtId="172" fontId="3" fillId="34" borderId="1" xfId="68" applyNumberFormat="1" applyFont="1" applyFill="1" applyBorder="1" applyAlignment="1">
      <alignment horizontal="right" vertical="top"/>
    </xf>
    <xf numFmtId="166" fontId="3" fillId="34" borderId="1" xfId="68" applyNumberFormat="1" applyFont="1" applyFill="1" applyBorder="1" applyAlignment="1">
      <alignment horizontal="right" vertical="top"/>
    </xf>
    <xf numFmtId="49" fontId="3" fillId="34" borderId="5" xfId="68" applyNumberFormat="1" applyFont="1" applyFill="1" applyBorder="1" applyAlignment="1">
      <alignment vertical="top" wrapText="1"/>
    </xf>
    <xf numFmtId="0" fontId="3" fillId="34" borderId="27" xfId="68" applyFont="1" applyFill="1" applyBorder="1" applyAlignment="1">
      <alignment vertical="top" wrapText="1"/>
    </xf>
    <xf numFmtId="0" fontId="3" fillId="34" borderId="28" xfId="68" applyFont="1" applyFill="1" applyBorder="1" applyAlignment="1">
      <alignment vertical="top" wrapText="1"/>
    </xf>
    <xf numFmtId="0" fontId="3" fillId="34" borderId="2" xfId="68" applyFont="1" applyFill="1" applyBorder="1" applyAlignment="1">
      <alignment vertical="top"/>
    </xf>
    <xf numFmtId="0" fontId="3" fillId="34" borderId="2" xfId="35" applyNumberFormat="1" applyFont="1" applyFill="1" applyBorder="1" applyAlignment="1">
      <alignment vertical="top"/>
    </xf>
    <xf numFmtId="0" fontId="3" fillId="34" borderId="2" xfId="35" applyNumberFormat="1" applyFont="1" applyFill="1" applyBorder="1" applyAlignment="1">
      <alignment horizontal="center" vertical="top"/>
    </xf>
    <xf numFmtId="172" fontId="3" fillId="34" borderId="2" xfId="35" applyNumberFormat="1" applyFont="1" applyFill="1" applyBorder="1" applyAlignment="1">
      <alignment horizontal="right" vertical="top"/>
    </xf>
    <xf numFmtId="172" fontId="3" fillId="34" borderId="2" xfId="29" applyNumberFormat="1" applyFont="1" applyFill="1" applyBorder="1" applyAlignment="1">
      <alignment horizontal="right" vertical="top"/>
    </xf>
    <xf numFmtId="0" fontId="3" fillId="34" borderId="22" xfId="68" applyFont="1" applyFill="1" applyBorder="1" applyAlignment="1">
      <alignment vertical="top"/>
    </xf>
    <xf numFmtId="166" fontId="3" fillId="34" borderId="1" xfId="36" applyFont="1" applyFill="1" applyBorder="1" applyAlignment="1">
      <alignment horizontal="right" vertical="top"/>
    </xf>
    <xf numFmtId="0" fontId="3" fillId="34" borderId="1" xfId="69" applyFont="1" applyFill="1" applyBorder="1" applyAlignment="1">
      <alignment vertical="top"/>
    </xf>
    <xf numFmtId="0" fontId="3" fillId="34" borderId="1" xfId="69" quotePrefix="1" applyFont="1" applyFill="1" applyBorder="1" applyAlignment="1">
      <alignment vertical="top" wrapText="1"/>
    </xf>
    <xf numFmtId="0" fontId="3" fillId="34" borderId="8" xfId="69" applyFont="1" applyFill="1" applyBorder="1" applyAlignment="1">
      <alignment vertical="top"/>
    </xf>
    <xf numFmtId="0" fontId="3" fillId="34" borderId="27" xfId="69" applyFont="1" applyFill="1" applyBorder="1" applyAlignment="1">
      <alignment vertical="top"/>
    </xf>
    <xf numFmtId="0" fontId="3" fillId="34" borderId="28" xfId="69" applyFont="1" applyFill="1" applyBorder="1" applyAlignment="1">
      <alignment vertical="top"/>
    </xf>
    <xf numFmtId="0" fontId="3" fillId="34" borderId="2" xfId="69" applyFont="1" applyFill="1" applyBorder="1" applyAlignment="1">
      <alignment horizontal="left" vertical="top" wrapText="1"/>
    </xf>
    <xf numFmtId="0" fontId="3" fillId="34" borderId="2" xfId="69" applyFont="1" applyFill="1" applyBorder="1" applyAlignment="1">
      <alignment vertical="top" wrapText="1"/>
    </xf>
    <xf numFmtId="0" fontId="3" fillId="34" borderId="2" xfId="69" applyFont="1" applyFill="1" applyBorder="1" applyAlignment="1">
      <alignment horizontal="center" vertical="top" wrapText="1"/>
    </xf>
    <xf numFmtId="166" fontId="3" fillId="34" borderId="2" xfId="36" applyFont="1" applyFill="1" applyBorder="1" applyAlignment="1">
      <alignment horizontal="right" vertical="top" wrapText="1"/>
    </xf>
    <xf numFmtId="166" fontId="3" fillId="34" borderId="2" xfId="36" applyFont="1" applyFill="1" applyBorder="1" applyAlignment="1">
      <alignment horizontal="right" vertical="top"/>
    </xf>
    <xf numFmtId="0" fontId="3" fillId="34" borderId="55" xfId="69" applyFont="1" applyFill="1" applyBorder="1" applyAlignment="1">
      <alignment vertical="top"/>
    </xf>
    <xf numFmtId="0" fontId="3" fillId="34" borderId="0" xfId="69" applyFont="1" applyFill="1" applyBorder="1" applyAlignment="1">
      <alignment vertical="top"/>
    </xf>
    <xf numFmtId="0" fontId="3" fillId="34" borderId="0" xfId="69" applyFont="1" applyFill="1" applyBorder="1" applyAlignment="1">
      <alignment horizontal="left" vertical="top" wrapText="1"/>
    </xf>
    <xf numFmtId="0" fontId="3" fillId="34" borderId="0" xfId="69" applyFont="1" applyFill="1" applyBorder="1" applyAlignment="1">
      <alignment horizontal="center" vertical="top" wrapText="1"/>
    </xf>
    <xf numFmtId="166" fontId="3" fillId="34" borderId="0" xfId="36" applyFont="1" applyFill="1" applyBorder="1" applyAlignment="1">
      <alignment horizontal="right" vertical="top" wrapText="1"/>
    </xf>
    <xf numFmtId="166" fontId="3" fillId="34" borderId="0" xfId="36" applyFont="1" applyFill="1" applyBorder="1" applyAlignment="1">
      <alignment horizontal="right" vertical="top"/>
    </xf>
    <xf numFmtId="0" fontId="3" fillId="34" borderId="3" xfId="70" applyFont="1" applyFill="1" applyBorder="1" applyAlignment="1">
      <alignment vertical="top" wrapText="1"/>
    </xf>
    <xf numFmtId="0" fontId="3" fillId="34" borderId="9" xfId="70" applyFont="1" applyFill="1" applyBorder="1" applyAlignment="1">
      <alignment vertical="top" wrapText="1"/>
    </xf>
    <xf numFmtId="0" fontId="3" fillId="34" borderId="4" xfId="70" applyFont="1" applyFill="1" applyBorder="1" applyAlignment="1">
      <alignment vertical="top" wrapText="1"/>
    </xf>
    <xf numFmtId="0" fontId="3" fillId="34" borderId="3" xfId="80" applyNumberFormat="1" applyFont="1" applyFill="1" applyBorder="1" applyAlignment="1">
      <alignment vertical="top" wrapText="1"/>
    </xf>
    <xf numFmtId="0" fontId="3" fillId="34" borderId="3" xfId="80" applyNumberFormat="1" applyFont="1" applyFill="1" applyBorder="1" applyAlignment="1">
      <alignment horizontal="right" vertical="top" wrapText="1"/>
    </xf>
    <xf numFmtId="170" fontId="3" fillId="34" borderId="3" xfId="70" applyNumberFormat="1" applyFont="1" applyFill="1" applyBorder="1" applyAlignment="1">
      <alignment horizontal="right" vertical="top" wrapText="1"/>
    </xf>
    <xf numFmtId="166" fontId="3" fillId="34" borderId="3" xfId="80" applyNumberFormat="1" applyFont="1" applyFill="1" applyBorder="1" applyAlignment="1">
      <alignment horizontal="right" vertical="top" wrapText="1"/>
    </xf>
    <xf numFmtId="166" fontId="3" fillId="34" borderId="3" xfId="70" applyNumberFormat="1" applyFont="1" applyFill="1" applyBorder="1" applyAlignment="1">
      <alignment horizontal="right" vertical="top" wrapText="1"/>
    </xf>
    <xf numFmtId="0" fontId="3" fillId="34" borderId="5" xfId="80" applyNumberFormat="1" applyFont="1" applyFill="1" applyBorder="1" applyAlignment="1">
      <alignment vertical="top" wrapText="1"/>
    </xf>
    <xf numFmtId="0" fontId="3" fillId="34" borderId="5" xfId="80" applyNumberFormat="1" applyFont="1" applyFill="1" applyBorder="1" applyAlignment="1">
      <alignment horizontal="right" vertical="top" wrapText="1"/>
    </xf>
    <xf numFmtId="170" fontId="3" fillId="34" borderId="4" xfId="70" applyNumberFormat="1" applyFont="1" applyFill="1" applyBorder="1" applyAlignment="1">
      <alignment horizontal="right" vertical="top" wrapText="1"/>
    </xf>
    <xf numFmtId="166" fontId="3" fillId="34" borderId="4" xfId="80" applyNumberFormat="1" applyFont="1" applyFill="1" applyBorder="1" applyAlignment="1">
      <alignment horizontal="right" vertical="top" wrapText="1"/>
    </xf>
    <xf numFmtId="166" fontId="3" fillId="34" borderId="4" xfId="70" applyNumberFormat="1" applyFont="1" applyFill="1" applyBorder="1" applyAlignment="1">
      <alignment horizontal="right" vertical="top" wrapText="1"/>
    </xf>
    <xf numFmtId="0" fontId="3" fillId="34" borderId="1" xfId="80" applyNumberFormat="1" applyFont="1" applyFill="1" applyBorder="1" applyAlignment="1">
      <alignment horizontal="right" vertical="top" wrapText="1"/>
    </xf>
    <xf numFmtId="170" fontId="3" fillId="34" borderId="5" xfId="70" applyNumberFormat="1" applyFont="1" applyFill="1" applyBorder="1" applyAlignment="1">
      <alignment horizontal="right" vertical="top" wrapText="1"/>
    </xf>
    <xf numFmtId="166" fontId="3" fillId="34" borderId="5" xfId="80" applyNumberFormat="1" applyFont="1" applyFill="1" applyBorder="1" applyAlignment="1">
      <alignment horizontal="right" vertical="top" wrapText="1"/>
    </xf>
    <xf numFmtId="166" fontId="3" fillId="34" borderId="5" xfId="70" applyNumberFormat="1" applyFont="1" applyFill="1" applyBorder="1" applyAlignment="1">
      <alignment horizontal="right" vertical="top" wrapText="1"/>
    </xf>
    <xf numFmtId="0" fontId="3" fillId="34" borderId="23" xfId="70" applyFont="1" applyFill="1" applyBorder="1" applyAlignment="1">
      <alignment vertical="top" wrapText="1"/>
    </xf>
    <xf numFmtId="0" fontId="3" fillId="34" borderId="5" xfId="70" applyFont="1" applyFill="1" applyBorder="1" applyAlignment="1">
      <alignment vertical="top" wrapText="1"/>
    </xf>
    <xf numFmtId="170" fontId="3" fillId="34" borderId="1" xfId="70" applyNumberFormat="1" applyFont="1" applyFill="1" applyBorder="1" applyAlignment="1">
      <alignment horizontal="right" vertical="top" wrapText="1"/>
    </xf>
    <xf numFmtId="166" fontId="3" fillId="34" borderId="1" xfId="70" applyNumberFormat="1" applyFont="1" applyFill="1" applyBorder="1" applyAlignment="1">
      <alignment horizontal="right" vertical="top" wrapText="1"/>
    </xf>
    <xf numFmtId="0" fontId="3" fillId="34" borderId="5" xfId="70" applyFont="1" applyFill="1" applyBorder="1" applyAlignment="1">
      <alignment horizontal="left" vertical="top" wrapText="1"/>
    </xf>
    <xf numFmtId="0" fontId="3" fillId="34" borderId="1" xfId="70" applyFont="1" applyFill="1" applyBorder="1" applyAlignment="1">
      <alignment horizontal="right" vertical="top" wrapText="1"/>
    </xf>
    <xf numFmtId="0" fontId="3" fillId="34" borderId="1" xfId="70" applyNumberFormat="1" applyFont="1" applyFill="1" applyBorder="1" applyAlignment="1">
      <alignment horizontal="right" vertical="top" wrapText="1"/>
    </xf>
    <xf numFmtId="166" fontId="3" fillId="34" borderId="1" xfId="37" applyFont="1" applyFill="1" applyBorder="1" applyAlignment="1">
      <alignment horizontal="right" vertical="top" wrapText="1"/>
    </xf>
    <xf numFmtId="166" fontId="3" fillId="34" borderId="3" xfId="37" applyFont="1" applyFill="1" applyBorder="1" applyAlignment="1">
      <alignment horizontal="right" vertical="top" wrapText="1"/>
    </xf>
    <xf numFmtId="166" fontId="3" fillId="34" borderId="5" xfId="37" applyFont="1" applyFill="1" applyBorder="1" applyAlignment="1">
      <alignment horizontal="right" vertical="top" wrapText="1"/>
    </xf>
    <xf numFmtId="0" fontId="3" fillId="34" borderId="3" xfId="70" applyFont="1" applyFill="1" applyBorder="1" applyAlignment="1">
      <alignment horizontal="left" vertical="top" wrapText="1"/>
    </xf>
    <xf numFmtId="0" fontId="3" fillId="34" borderId="1" xfId="70" applyFont="1" applyFill="1" applyBorder="1" applyAlignment="1">
      <alignment vertical="top" wrapText="1"/>
    </xf>
    <xf numFmtId="167" fontId="3" fillId="34" borderId="1" xfId="70" applyNumberFormat="1" applyFont="1" applyFill="1" applyBorder="1" applyAlignment="1">
      <alignment horizontal="right" vertical="top" wrapText="1"/>
    </xf>
    <xf numFmtId="171" fontId="3" fillId="34" borderId="1" xfId="80" applyNumberFormat="1" applyFont="1" applyFill="1" applyBorder="1" applyAlignment="1">
      <alignment horizontal="left" vertical="top" wrapText="1"/>
    </xf>
    <xf numFmtId="0" fontId="3" fillId="34" borderId="3" xfId="70" applyFont="1" applyFill="1" applyBorder="1" applyAlignment="1">
      <alignment horizontal="center" vertical="top" wrapText="1"/>
    </xf>
    <xf numFmtId="0" fontId="3" fillId="34" borderId="3" xfId="37" applyNumberFormat="1" applyFont="1" applyFill="1" applyBorder="1" applyAlignment="1">
      <alignment horizontal="right" vertical="top" wrapText="1"/>
    </xf>
    <xf numFmtId="0" fontId="3" fillId="34" borderId="3" xfId="80" quotePrefix="1" applyNumberFormat="1" applyFont="1" applyFill="1" applyBorder="1" applyAlignment="1">
      <alignment vertical="top" wrapText="1"/>
    </xf>
    <xf numFmtId="0" fontId="3" fillId="34" borderId="5" xfId="80" quotePrefix="1" applyNumberFormat="1" applyFont="1" applyFill="1" applyBorder="1" applyAlignment="1">
      <alignment vertical="top" wrapText="1"/>
    </xf>
    <xf numFmtId="0" fontId="3" fillId="34" borderId="24" xfId="70" applyFont="1" applyFill="1" applyBorder="1" applyAlignment="1">
      <alignment vertical="top" wrapText="1"/>
    </xf>
    <xf numFmtId="0" fontId="3" fillId="34" borderId="2" xfId="70" applyFont="1" applyFill="1" applyBorder="1" applyAlignment="1">
      <alignment vertical="top" wrapText="1"/>
    </xf>
    <xf numFmtId="0" fontId="3" fillId="34" borderId="2" xfId="70" applyFont="1" applyFill="1" applyBorder="1" applyAlignment="1">
      <alignment horizontal="left" vertical="top" wrapText="1"/>
    </xf>
    <xf numFmtId="0" fontId="3" fillId="34" borderId="2" xfId="80" applyNumberFormat="1" applyFont="1" applyFill="1" applyBorder="1" applyAlignment="1">
      <alignment horizontal="right" vertical="top" wrapText="1"/>
    </xf>
    <xf numFmtId="166" fontId="3" fillId="34" borderId="2" xfId="70" applyNumberFormat="1" applyFont="1" applyFill="1" applyBorder="1" applyAlignment="1">
      <alignment horizontal="right" vertical="top" wrapText="1"/>
    </xf>
    <xf numFmtId="9" fontId="3" fillId="34" borderId="2" xfId="70" applyNumberFormat="1" applyFont="1" applyFill="1" applyBorder="1" applyAlignment="1">
      <alignment horizontal="right" vertical="top" wrapText="1"/>
    </xf>
    <xf numFmtId="0" fontId="3" fillId="34" borderId="2" xfId="70" applyFont="1" applyFill="1" applyBorder="1" applyAlignment="1">
      <alignment horizontal="center" vertical="top" wrapText="1"/>
    </xf>
    <xf numFmtId="0" fontId="3" fillId="34" borderId="55" xfId="70" applyFont="1" applyFill="1" applyBorder="1" applyAlignment="1">
      <alignment horizontal="center" vertical="top" wrapText="1"/>
    </xf>
    <xf numFmtId="0" fontId="3" fillId="34" borderId="0" xfId="70" applyFont="1" applyFill="1" applyBorder="1" applyAlignment="1">
      <alignment vertical="top" wrapText="1"/>
    </xf>
    <xf numFmtId="0" fontId="3" fillId="34" borderId="0" xfId="70" applyFont="1" applyFill="1" applyBorder="1" applyAlignment="1">
      <alignment horizontal="left" vertical="top" wrapText="1"/>
    </xf>
    <xf numFmtId="0" fontId="3" fillId="34" borderId="0" xfId="80" applyNumberFormat="1" applyFont="1" applyFill="1" applyBorder="1" applyAlignment="1">
      <alignment horizontal="right" vertical="top" wrapText="1"/>
    </xf>
    <xf numFmtId="166" fontId="3" fillId="34" borderId="0" xfId="70" applyNumberFormat="1" applyFont="1" applyFill="1" applyBorder="1" applyAlignment="1">
      <alignment horizontal="right" vertical="top" wrapText="1"/>
    </xf>
    <xf numFmtId="9" fontId="3" fillId="34" borderId="0" xfId="70" applyNumberFormat="1" applyFont="1" applyFill="1" applyBorder="1" applyAlignment="1">
      <alignment horizontal="right" vertical="top" wrapText="1"/>
    </xf>
    <xf numFmtId="0" fontId="3" fillId="34" borderId="0" xfId="70" applyFont="1" applyFill="1" applyBorder="1" applyAlignment="1">
      <alignment horizontal="center" vertical="top" wrapText="1"/>
    </xf>
    <xf numFmtId="0" fontId="3" fillId="34" borderId="1" xfId="71" applyFont="1" applyFill="1" applyBorder="1" applyAlignment="1">
      <alignment vertical="top" wrapText="1"/>
    </xf>
    <xf numFmtId="0" fontId="3" fillId="34" borderId="4" xfId="63" applyFont="1" applyFill="1" applyBorder="1" applyAlignment="1">
      <alignment vertical="top" wrapText="1"/>
    </xf>
    <xf numFmtId="0" fontId="3" fillId="34" borderId="5" xfId="63" applyFont="1" applyFill="1" applyBorder="1" applyAlignment="1">
      <alignment vertical="top" wrapText="1"/>
    </xf>
    <xf numFmtId="166" fontId="3" fillId="34" borderId="1" xfId="63" applyNumberFormat="1" applyFont="1" applyFill="1" applyBorder="1" applyAlignment="1">
      <alignment horizontal="right" vertical="top" wrapText="1"/>
    </xf>
    <xf numFmtId="0" fontId="3" fillId="34" borderId="7" xfId="63" applyFont="1" applyFill="1" applyBorder="1" applyAlignment="1">
      <alignment horizontal="right" vertical="top" wrapText="1"/>
    </xf>
    <xf numFmtId="166" fontId="3" fillId="34" borderId="1" xfId="30" applyFont="1" applyFill="1" applyBorder="1" applyAlignment="1">
      <alignment horizontal="right" vertical="top" wrapText="1"/>
    </xf>
    <xf numFmtId="0" fontId="3" fillId="34" borderId="2" xfId="63" applyFont="1" applyFill="1" applyBorder="1" applyAlignment="1">
      <alignment vertical="top"/>
    </xf>
    <xf numFmtId="0" fontId="3" fillId="34" borderId="2" xfId="63" applyFont="1" applyFill="1" applyBorder="1" applyAlignment="1">
      <alignment horizontal="center" vertical="top"/>
    </xf>
    <xf numFmtId="0" fontId="3" fillId="34" borderId="2" xfId="63" applyFont="1" applyFill="1" applyBorder="1" applyAlignment="1">
      <alignment horizontal="right" vertical="top"/>
    </xf>
    <xf numFmtId="0" fontId="3" fillId="34" borderId="8" xfId="63" applyFont="1" applyFill="1" applyBorder="1" applyAlignment="1">
      <alignment horizontal="right" vertical="top"/>
    </xf>
    <xf numFmtId="166" fontId="3" fillId="34" borderId="2" xfId="63" applyNumberFormat="1" applyFont="1" applyFill="1" applyBorder="1" applyAlignment="1">
      <alignment vertical="top"/>
    </xf>
    <xf numFmtId="166" fontId="3" fillId="34" borderId="55" xfId="63" applyNumberFormat="1" applyFont="1" applyFill="1" applyBorder="1" applyAlignment="1">
      <alignment vertical="top"/>
    </xf>
    <xf numFmtId="0" fontId="3" fillId="34" borderId="0" xfId="0" applyFont="1" applyFill="1" applyAlignment="1">
      <alignment horizontal="center"/>
    </xf>
    <xf numFmtId="0" fontId="3" fillId="34" borderId="4" xfId="72" applyFont="1" applyFill="1" applyBorder="1" applyAlignment="1">
      <alignment vertical="top" wrapText="1"/>
    </xf>
    <xf numFmtId="0" fontId="3" fillId="34" borderId="1" xfId="72" applyFont="1" applyFill="1" applyBorder="1" applyAlignment="1">
      <alignment vertical="top" wrapText="1"/>
    </xf>
    <xf numFmtId="0" fontId="3" fillId="34" borderId="1" xfId="72" applyFont="1" applyFill="1" applyBorder="1" applyAlignment="1">
      <alignment horizontal="center" vertical="top" wrapText="1"/>
    </xf>
    <xf numFmtId="166" fontId="3" fillId="34" borderId="1" xfId="39" applyNumberFormat="1" applyFont="1" applyFill="1" applyBorder="1" applyAlignment="1">
      <alignment horizontal="center" vertical="top" wrapText="1"/>
    </xf>
    <xf numFmtId="166" fontId="3" fillId="34" borderId="1" xfId="72" applyNumberFormat="1" applyFont="1" applyFill="1" applyBorder="1" applyAlignment="1">
      <alignment horizontal="right" vertical="top" wrapText="1"/>
    </xf>
    <xf numFmtId="166" fontId="3" fillId="34" borderId="1" xfId="72" applyNumberFormat="1" applyFont="1" applyFill="1" applyBorder="1" applyAlignment="1">
      <alignment vertical="top" wrapText="1"/>
    </xf>
    <xf numFmtId="0" fontId="3" fillId="34" borderId="7" xfId="72" applyFont="1" applyFill="1" applyBorder="1" applyAlignment="1">
      <alignment vertical="top" wrapText="1"/>
    </xf>
    <xf numFmtId="166" fontId="3" fillId="34" borderId="1" xfId="45" applyNumberFormat="1" applyFont="1" applyFill="1" applyBorder="1" applyAlignment="1">
      <alignment horizontal="right" vertical="top" wrapText="1"/>
    </xf>
    <xf numFmtId="166" fontId="3" fillId="34" borderId="1" xfId="45" applyNumberFormat="1" applyFont="1" applyFill="1" applyBorder="1" applyAlignment="1">
      <alignment vertical="top" wrapText="1"/>
    </xf>
    <xf numFmtId="0" fontId="3" fillId="34" borderId="1" xfId="72" applyNumberFormat="1" applyFont="1" applyFill="1" applyBorder="1" applyAlignment="1">
      <alignment vertical="top" wrapText="1"/>
    </xf>
    <xf numFmtId="0" fontId="3" fillId="34" borderId="7" xfId="72" applyNumberFormat="1" applyFont="1" applyFill="1" applyBorder="1" applyAlignment="1">
      <alignment vertical="top" wrapText="1"/>
    </xf>
    <xf numFmtId="170" fontId="3" fillId="34" borderId="1" xfId="45" applyNumberFormat="1" applyFont="1" applyFill="1" applyBorder="1" applyAlignment="1">
      <alignment vertical="top" wrapText="1"/>
    </xf>
    <xf numFmtId="37" fontId="3" fillId="34" borderId="1" xfId="72" applyNumberFormat="1" applyFont="1" applyFill="1" applyBorder="1" applyAlignment="1">
      <alignment vertical="top" wrapText="1"/>
    </xf>
    <xf numFmtId="37" fontId="3" fillId="34" borderId="7" xfId="72" applyNumberFormat="1" applyFont="1" applyFill="1" applyBorder="1" applyAlignment="1">
      <alignment vertical="top" wrapText="1"/>
    </xf>
    <xf numFmtId="166" fontId="3" fillId="34" borderId="1" xfId="39" quotePrefix="1" applyNumberFormat="1" applyFont="1" applyFill="1" applyBorder="1" applyAlignment="1">
      <alignment horizontal="center" vertical="top" wrapText="1"/>
    </xf>
    <xf numFmtId="0" fontId="3" fillId="34" borderId="1" xfId="72" quotePrefix="1" applyFont="1" applyFill="1" applyBorder="1" applyAlignment="1">
      <alignment vertical="top" wrapText="1"/>
    </xf>
    <xf numFmtId="166" fontId="3" fillId="34" borderId="1" xfId="72" quotePrefix="1" applyNumberFormat="1" applyFont="1" applyFill="1" applyBorder="1" applyAlignment="1">
      <alignment vertical="top" wrapText="1"/>
    </xf>
    <xf numFmtId="0" fontId="3" fillId="34" borderId="1" xfId="72" applyFont="1" applyFill="1" applyBorder="1" applyAlignment="1">
      <alignment horizontal="left" vertical="top" wrapText="1"/>
    </xf>
    <xf numFmtId="0" fontId="3" fillId="34" borderId="5" xfId="72" applyFont="1" applyFill="1" applyBorder="1" applyAlignment="1">
      <alignment vertical="top" wrapText="1"/>
    </xf>
    <xf numFmtId="166" fontId="3" fillId="34" borderId="1" xfId="39" applyFont="1" applyFill="1" applyBorder="1" applyAlignment="1">
      <alignment vertical="top" wrapText="1"/>
    </xf>
    <xf numFmtId="166" fontId="3" fillId="34" borderId="7" xfId="72" applyNumberFormat="1" applyFont="1" applyFill="1" applyBorder="1" applyAlignment="1">
      <alignment vertical="top" wrapText="1"/>
    </xf>
    <xf numFmtId="0" fontId="3" fillId="34" borderId="3" xfId="72" applyFont="1" applyFill="1" applyBorder="1" applyAlignment="1">
      <alignment vertical="top" wrapText="1"/>
    </xf>
    <xf numFmtId="0" fontId="3" fillId="34" borderId="2" xfId="72" applyFont="1" applyFill="1" applyBorder="1" applyAlignment="1">
      <alignment vertical="top" wrapText="1"/>
    </xf>
    <xf numFmtId="0" fontId="3" fillId="34" borderId="2" xfId="72" applyFont="1" applyFill="1" applyBorder="1" applyAlignment="1">
      <alignment horizontal="center" vertical="top" wrapText="1"/>
    </xf>
    <xf numFmtId="166" fontId="3" fillId="34" borderId="2" xfId="39" applyNumberFormat="1" applyFont="1" applyFill="1" applyBorder="1" applyAlignment="1">
      <alignment horizontal="center" vertical="top" wrapText="1"/>
    </xf>
    <xf numFmtId="0" fontId="3" fillId="34" borderId="8" xfId="72" applyFont="1" applyFill="1" applyBorder="1" applyAlignment="1">
      <alignment vertical="top" wrapText="1"/>
    </xf>
    <xf numFmtId="0" fontId="3" fillId="34" borderId="22" xfId="72" applyFont="1" applyFill="1" applyBorder="1" applyAlignment="1">
      <alignment vertical="top" wrapText="1"/>
    </xf>
    <xf numFmtId="0" fontId="3" fillId="34" borderId="0" xfId="72" applyFont="1" applyFill="1" applyBorder="1" applyAlignment="1">
      <alignment vertical="top" wrapText="1"/>
    </xf>
    <xf numFmtId="0" fontId="3" fillId="34" borderId="0" xfId="72" applyFont="1" applyFill="1" applyBorder="1" applyAlignment="1">
      <alignment horizontal="center" vertical="top" wrapText="1"/>
    </xf>
    <xf numFmtId="166" fontId="3" fillId="34" borderId="0" xfId="39" applyNumberFormat="1" applyFont="1" applyFill="1" applyBorder="1" applyAlignment="1">
      <alignment horizontal="center" vertical="top" wrapText="1"/>
    </xf>
    <xf numFmtId="167" fontId="3" fillId="34" borderId="1" xfId="46" applyFont="1" applyFill="1" applyBorder="1" applyAlignment="1">
      <alignment vertical="top"/>
    </xf>
    <xf numFmtId="166" fontId="3" fillId="34" borderId="1" xfId="40" applyFont="1" applyFill="1" applyBorder="1" applyAlignment="1">
      <alignment horizontal="right" vertical="top"/>
    </xf>
    <xf numFmtId="166" fontId="3" fillId="34" borderId="1" xfId="46" applyNumberFormat="1" applyFont="1" applyFill="1" applyBorder="1" applyAlignment="1">
      <alignment vertical="top"/>
    </xf>
    <xf numFmtId="170" fontId="3" fillId="34" borderId="1" xfId="46" applyNumberFormat="1" applyFont="1" applyFill="1" applyBorder="1" applyAlignment="1">
      <alignment horizontal="right" vertical="top"/>
    </xf>
    <xf numFmtId="170" fontId="3" fillId="34" borderId="7" xfId="46" applyNumberFormat="1" applyFont="1" applyFill="1" applyBorder="1" applyAlignment="1">
      <alignment horizontal="right" vertical="top"/>
    </xf>
    <xf numFmtId="166" fontId="3" fillId="34" borderId="1" xfId="40" applyFont="1" applyFill="1" applyBorder="1" applyAlignment="1">
      <alignment vertical="top"/>
    </xf>
    <xf numFmtId="166" fontId="3" fillId="34" borderId="1" xfId="40" applyFont="1" applyFill="1" applyBorder="1" applyAlignment="1">
      <alignment horizontal="right" vertical="top" wrapText="1"/>
    </xf>
    <xf numFmtId="166" fontId="3" fillId="34" borderId="1" xfId="40" applyNumberFormat="1" applyFont="1" applyFill="1" applyBorder="1" applyAlignment="1">
      <alignment vertical="top"/>
    </xf>
    <xf numFmtId="166" fontId="3" fillId="34" borderId="1" xfId="40" applyFont="1" applyFill="1" applyBorder="1" applyAlignment="1">
      <alignment vertical="top" wrapText="1"/>
    </xf>
    <xf numFmtId="0" fontId="3" fillId="34" borderId="5" xfId="73" applyFont="1" applyFill="1" applyBorder="1" applyAlignment="1">
      <alignment vertical="top" wrapText="1"/>
    </xf>
    <xf numFmtId="0" fontId="3" fillId="34" borderId="3" xfId="73" applyFont="1" applyFill="1" applyBorder="1" applyAlignment="1">
      <alignment horizontal="center" vertical="top" wrapText="1"/>
    </xf>
    <xf numFmtId="166" fontId="3" fillId="34" borderId="3" xfId="40" applyFont="1" applyFill="1" applyBorder="1" applyAlignment="1">
      <alignment vertical="top"/>
    </xf>
    <xf numFmtId="166" fontId="3" fillId="34" borderId="3" xfId="40" applyNumberFormat="1" applyFont="1" applyFill="1" applyBorder="1" applyAlignment="1">
      <alignment vertical="top"/>
    </xf>
    <xf numFmtId="170" fontId="3" fillId="34" borderId="3" xfId="46" applyNumberFormat="1" applyFont="1" applyFill="1" applyBorder="1" applyAlignment="1">
      <alignment horizontal="right" vertical="top"/>
    </xf>
    <xf numFmtId="170" fontId="3" fillId="34" borderId="16" xfId="46" applyNumberFormat="1" applyFont="1" applyFill="1" applyBorder="1" applyAlignment="1">
      <alignment horizontal="right" vertical="top"/>
    </xf>
    <xf numFmtId="166" fontId="3" fillId="34" borderId="1" xfId="40" applyFont="1" applyFill="1" applyBorder="1" applyAlignment="1">
      <alignment horizontal="center" vertical="top"/>
    </xf>
    <xf numFmtId="0" fontId="3" fillId="34" borderId="2" xfId="73" applyFont="1" applyFill="1" applyBorder="1" applyAlignment="1">
      <alignment vertical="top" wrapText="1"/>
    </xf>
    <xf numFmtId="0" fontId="3" fillId="34" borderId="2" xfId="73" applyFont="1" applyFill="1" applyBorder="1" applyAlignment="1">
      <alignment horizontal="center" vertical="top" wrapText="1"/>
    </xf>
    <xf numFmtId="166" fontId="3" fillId="34" borderId="2" xfId="40" applyFont="1" applyFill="1" applyBorder="1" applyAlignment="1">
      <alignment vertical="top"/>
    </xf>
    <xf numFmtId="166" fontId="3" fillId="34" borderId="2" xfId="40" applyFont="1" applyFill="1" applyBorder="1" applyAlignment="1">
      <alignment vertical="top" wrapText="1"/>
    </xf>
    <xf numFmtId="170" fontId="3" fillId="34" borderId="2" xfId="46" applyNumberFormat="1" applyFont="1" applyFill="1" applyBorder="1" applyAlignment="1">
      <alignment horizontal="right" vertical="top"/>
    </xf>
    <xf numFmtId="170" fontId="3" fillId="34" borderId="8" xfId="46" applyNumberFormat="1" applyFont="1" applyFill="1" applyBorder="1" applyAlignment="1">
      <alignment horizontal="right" vertical="top"/>
    </xf>
    <xf numFmtId="0" fontId="3" fillId="34" borderId="22" xfId="73" applyFont="1" applyFill="1" applyBorder="1" applyAlignment="1">
      <alignment vertical="top"/>
    </xf>
    <xf numFmtId="0" fontId="3" fillId="34" borderId="60" xfId="0" applyFont="1" applyFill="1" applyBorder="1" applyAlignment="1">
      <alignment vertical="top" wrapText="1"/>
    </xf>
    <xf numFmtId="166" fontId="3" fillId="34" borderId="1" xfId="0" applyNumberFormat="1" applyFont="1" applyFill="1" applyBorder="1" applyAlignment="1">
      <alignment vertical="top"/>
    </xf>
    <xf numFmtId="3" fontId="3" fillId="34" borderId="1" xfId="0" applyNumberFormat="1" applyFont="1" applyFill="1" applyBorder="1" applyAlignment="1">
      <alignment vertical="top" wrapText="1"/>
    </xf>
    <xf numFmtId="170" fontId="3" fillId="34" borderId="1" xfId="28" applyNumberFormat="1" applyFont="1" applyFill="1" applyBorder="1" applyAlignment="1">
      <alignment vertical="top" wrapText="1"/>
    </xf>
    <xf numFmtId="166" fontId="3" fillId="34" borderId="1" xfId="28" applyNumberFormat="1" applyFont="1" applyFill="1" applyBorder="1" applyAlignment="1">
      <alignment vertical="top" wrapText="1"/>
    </xf>
    <xf numFmtId="166" fontId="3" fillId="34" borderId="1" xfId="28" applyNumberFormat="1" applyFont="1" applyFill="1" applyBorder="1" applyAlignment="1">
      <alignment horizontal="left" vertical="top" wrapText="1"/>
    </xf>
    <xf numFmtId="170" fontId="3" fillId="34" borderId="1" xfId="28" applyNumberFormat="1" applyFont="1" applyFill="1" applyBorder="1" applyAlignment="1">
      <alignment horizontal="center" vertical="top" wrapText="1"/>
    </xf>
    <xf numFmtId="170" fontId="3" fillId="34" borderId="1" xfId="28" quotePrefix="1" applyNumberFormat="1" applyFont="1" applyFill="1" applyBorder="1" applyAlignment="1">
      <alignment horizontal="right" vertical="top" wrapText="1"/>
    </xf>
    <xf numFmtId="170" fontId="3" fillId="34" borderId="1" xfId="28" applyNumberFormat="1" applyFont="1" applyFill="1" applyBorder="1" applyAlignment="1">
      <alignment horizontal="right" vertical="top" wrapText="1"/>
    </xf>
    <xf numFmtId="166" fontId="3" fillId="34" borderId="1" xfId="29" quotePrefix="1" applyFont="1" applyFill="1" applyBorder="1" applyAlignment="1">
      <alignment horizontal="right" vertical="top" wrapText="1"/>
    </xf>
    <xf numFmtId="166" fontId="3" fillId="34" borderId="1" xfId="29" quotePrefix="1" applyFont="1" applyFill="1" applyBorder="1" applyAlignment="1">
      <alignment horizontal="center" vertical="top" wrapText="1"/>
    </xf>
    <xf numFmtId="0" fontId="3" fillId="34" borderId="4" xfId="0" applyFont="1" applyFill="1" applyBorder="1" applyAlignment="1">
      <alignment wrapText="1"/>
    </xf>
    <xf numFmtId="166" fontId="3" fillId="34" borderId="1" xfId="0" applyNumberFormat="1" applyFont="1" applyFill="1" applyBorder="1" applyAlignment="1">
      <alignment vertical="top" wrapText="1"/>
    </xf>
    <xf numFmtId="0" fontId="3" fillId="34" borderId="1" xfId="0" quotePrefix="1" applyFont="1" applyFill="1" applyBorder="1" applyAlignment="1">
      <alignment horizontal="center" vertical="top" wrapText="1"/>
    </xf>
    <xf numFmtId="170" fontId="3" fillId="34" borderId="1" xfId="28" quotePrefix="1" applyNumberFormat="1" applyFont="1" applyFill="1" applyBorder="1" applyAlignment="1">
      <alignment vertical="top" wrapText="1"/>
    </xf>
    <xf numFmtId="0" fontId="3" fillId="34" borderId="1" xfId="0" quotePrefix="1" applyFont="1" applyFill="1" applyBorder="1" applyAlignment="1">
      <alignment horizontal="right" vertical="top" wrapText="1"/>
    </xf>
    <xf numFmtId="167" fontId="3" fillId="34" borderId="1" xfId="28" quotePrefix="1" applyFont="1" applyFill="1" applyBorder="1" applyAlignment="1">
      <alignment horizontal="center" vertical="top" wrapText="1"/>
    </xf>
    <xf numFmtId="166" fontId="3" fillId="34" borderId="1" xfId="0" quotePrefix="1" applyNumberFormat="1" applyFont="1" applyFill="1" applyBorder="1" applyAlignment="1">
      <alignment horizontal="right" vertical="top" wrapText="1"/>
    </xf>
    <xf numFmtId="167" fontId="3" fillId="34" borderId="1" xfId="28" applyNumberFormat="1" applyFont="1" applyFill="1" applyBorder="1" applyAlignment="1">
      <alignment horizontal="left" vertical="top" wrapText="1"/>
    </xf>
    <xf numFmtId="0" fontId="3" fillId="34" borderId="6" xfId="0" applyFont="1" applyFill="1" applyBorder="1"/>
    <xf numFmtId="0" fontId="28" fillId="0" borderId="0" xfId="0" applyFont="1"/>
    <xf numFmtId="0" fontId="50" fillId="37" borderId="61" xfId="0" applyFont="1" applyFill="1" applyBorder="1" applyAlignment="1">
      <alignment horizontal="center" vertical="center"/>
    </xf>
    <xf numFmtId="0" fontId="50" fillId="37" borderId="62" xfId="0" applyFont="1" applyFill="1" applyBorder="1" applyAlignment="1">
      <alignment horizontal="center" vertical="center"/>
    </xf>
    <xf numFmtId="0" fontId="50" fillId="37" borderId="63" xfId="0" applyFont="1" applyFill="1" applyBorder="1" applyAlignment="1">
      <alignment horizontal="center" vertical="center"/>
    </xf>
    <xf numFmtId="0" fontId="28" fillId="34" borderId="64" xfId="0" applyFont="1" applyFill="1" applyBorder="1" applyAlignment="1">
      <alignment horizontal="center" vertical="center"/>
    </xf>
    <xf numFmtId="0" fontId="28" fillId="34" borderId="1" xfId="0" applyFont="1" applyFill="1" applyBorder="1" applyAlignment="1">
      <alignment horizontal="left" vertical="center"/>
    </xf>
    <xf numFmtId="0" fontId="28" fillId="34" borderId="1" xfId="0" applyFont="1" applyFill="1" applyBorder="1" applyAlignment="1">
      <alignment horizontal="left"/>
    </xf>
    <xf numFmtId="0" fontId="28" fillId="0" borderId="65" xfId="0" applyFont="1" applyBorder="1"/>
    <xf numFmtId="0" fontId="28" fillId="0" borderId="66" xfId="0" applyFont="1" applyBorder="1"/>
    <xf numFmtId="0" fontId="28" fillId="0" borderId="67" xfId="0" applyFont="1" applyBorder="1"/>
    <xf numFmtId="166" fontId="51" fillId="34" borderId="1" xfId="29" applyFont="1" applyFill="1" applyBorder="1" applyAlignment="1">
      <alignment horizontal="left" vertical="center"/>
    </xf>
    <xf numFmtId="166" fontId="51" fillId="34" borderId="68" xfId="29" applyFont="1" applyFill="1" applyBorder="1" applyAlignment="1">
      <alignment horizontal="left" vertical="center"/>
    </xf>
    <xf numFmtId="166" fontId="51" fillId="34" borderId="1" xfId="29" applyFont="1" applyFill="1" applyBorder="1" applyAlignment="1">
      <alignment horizontal="left"/>
    </xf>
    <xf numFmtId="0" fontId="3" fillId="34" borderId="5" xfId="69" applyFont="1" applyFill="1" applyBorder="1" applyAlignment="1">
      <alignment horizontal="center" vertical="top" wrapText="1"/>
    </xf>
    <xf numFmtId="166" fontId="3" fillId="34" borderId="5" xfId="36" applyFont="1" applyFill="1" applyBorder="1" applyAlignment="1">
      <alignment horizontal="right" vertical="top"/>
    </xf>
    <xf numFmtId="166" fontId="3" fillId="34" borderId="5" xfId="36" applyFont="1" applyFill="1" applyBorder="1" applyAlignment="1">
      <alignment horizontal="right" vertical="top" wrapText="1"/>
    </xf>
    <xf numFmtId="0" fontId="3" fillId="34" borderId="4" xfId="69" applyFont="1" applyFill="1" applyBorder="1" applyAlignment="1">
      <alignment vertical="top"/>
    </xf>
    <xf numFmtId="0" fontId="3" fillId="34" borderId="69" xfId="0" applyFont="1" applyFill="1" applyBorder="1" applyAlignment="1">
      <alignment horizontal="center" vertical="top" wrapText="1"/>
    </xf>
    <xf numFmtId="0" fontId="3" fillId="34" borderId="1" xfId="0" applyFont="1" applyFill="1" applyBorder="1" applyAlignment="1">
      <alignment horizontal="center" vertical="top" wrapText="1"/>
    </xf>
    <xf numFmtId="0" fontId="3" fillId="34" borderId="54" xfId="0" applyFont="1" applyFill="1" applyBorder="1" applyAlignment="1">
      <alignment horizontal="center" vertical="top" wrapText="1"/>
    </xf>
    <xf numFmtId="166" fontId="3" fillId="34" borderId="1" xfId="29" applyFont="1" applyFill="1" applyBorder="1" applyAlignment="1">
      <alignment horizontal="center" vertical="top" wrapText="1"/>
    </xf>
    <xf numFmtId="0" fontId="3" fillId="34" borderId="1" xfId="0" applyFont="1" applyFill="1" applyBorder="1" applyAlignment="1">
      <alignment horizontal="left" vertical="top" wrapText="1"/>
    </xf>
    <xf numFmtId="0" fontId="3" fillId="34" borderId="3" xfId="0" applyFont="1" applyFill="1" applyBorder="1" applyAlignment="1">
      <alignment horizontal="left" vertical="top" wrapText="1"/>
    </xf>
    <xf numFmtId="0" fontId="3" fillId="34" borderId="4" xfId="0" applyFont="1" applyFill="1" applyBorder="1" applyAlignment="1">
      <alignment horizontal="left" vertical="top" wrapText="1"/>
    </xf>
    <xf numFmtId="0" fontId="3" fillId="34" borderId="5" xfId="0" applyFont="1" applyFill="1" applyBorder="1" applyAlignment="1">
      <alignment horizontal="left" vertical="top" wrapText="1"/>
    </xf>
    <xf numFmtId="166" fontId="3" fillId="34" borderId="1" xfId="29" applyFont="1" applyFill="1" applyBorder="1" applyAlignment="1">
      <alignment horizontal="right" vertical="top" wrapText="1"/>
    </xf>
    <xf numFmtId="0" fontId="3" fillId="34" borderId="9" xfId="0" applyFont="1" applyFill="1" applyBorder="1" applyAlignment="1">
      <alignment horizontal="left" vertical="top" wrapText="1"/>
    </xf>
    <xf numFmtId="0" fontId="3" fillId="34" borderId="23" xfId="0" applyFont="1" applyFill="1" applyBorder="1" applyAlignment="1">
      <alignment horizontal="left" vertical="top" wrapText="1"/>
    </xf>
    <xf numFmtId="0" fontId="3" fillId="34" borderId="2" xfId="0" applyFont="1" applyFill="1" applyBorder="1" applyAlignment="1">
      <alignment horizontal="center" vertical="top" wrapText="1"/>
    </xf>
    <xf numFmtId="0" fontId="3" fillId="34" borderId="1" xfId="65" applyFont="1" applyFill="1" applyBorder="1" applyAlignment="1">
      <alignment horizontal="left" vertical="top" wrapText="1"/>
    </xf>
    <xf numFmtId="0" fontId="3" fillId="34" borderId="26" xfId="0" applyFont="1" applyFill="1" applyBorder="1" applyAlignment="1">
      <alignment horizontal="left" vertical="top" wrapText="1"/>
    </xf>
    <xf numFmtId="166" fontId="3" fillId="34" borderId="1" xfId="43" applyNumberFormat="1" applyFont="1" applyFill="1" applyBorder="1" applyAlignment="1">
      <alignment horizontal="right" vertical="top"/>
    </xf>
    <xf numFmtId="0" fontId="3" fillId="34" borderId="1" xfId="75" applyFont="1" applyFill="1" applyBorder="1" applyAlignment="1">
      <alignment horizontal="left" vertical="top" wrapText="1"/>
    </xf>
    <xf numFmtId="0" fontId="3" fillId="34" borderId="1" xfId="70" applyFont="1" applyFill="1" applyBorder="1" applyAlignment="1">
      <alignment horizontal="center" vertical="top" wrapText="1"/>
    </xf>
    <xf numFmtId="0" fontId="3" fillId="34" borderId="1" xfId="70" applyFont="1" applyFill="1" applyBorder="1" applyAlignment="1">
      <alignment horizontal="left" vertical="top" wrapText="1"/>
    </xf>
    <xf numFmtId="0" fontId="3" fillId="34" borderId="5" xfId="70" applyFont="1" applyFill="1" applyBorder="1" applyAlignment="1">
      <alignment horizontal="center" vertical="top" wrapText="1"/>
    </xf>
    <xf numFmtId="0" fontId="3" fillId="34" borderId="1" xfId="63" applyFont="1" applyFill="1" applyBorder="1" applyAlignment="1">
      <alignment horizontal="left" vertical="top" wrapText="1"/>
    </xf>
    <xf numFmtId="0" fontId="3" fillId="34" borderId="1" xfId="69" applyFont="1" applyFill="1" applyBorder="1" applyAlignment="1">
      <alignment horizontal="left" vertical="top" wrapText="1"/>
    </xf>
    <xf numFmtId="0" fontId="3" fillId="34" borderId="1" xfId="73" applyFont="1" applyFill="1" applyBorder="1" applyAlignment="1">
      <alignment horizontal="left" vertical="top" wrapText="1"/>
    </xf>
    <xf numFmtId="166" fontId="3" fillId="34" borderId="1" xfId="28" applyNumberFormat="1" applyFont="1" applyFill="1" applyBorder="1" applyAlignment="1">
      <alignment horizontal="center" vertical="top" wrapText="1"/>
    </xf>
    <xf numFmtId="0" fontId="3" fillId="34" borderId="1" xfId="0" applyFont="1" applyFill="1" applyBorder="1" applyAlignment="1">
      <alignment horizontal="center" vertical="center" wrapText="1"/>
    </xf>
    <xf numFmtId="0" fontId="3" fillId="34" borderId="1" xfId="63" applyFont="1" applyFill="1" applyBorder="1" applyAlignment="1">
      <alignment horizontal="right" vertical="top" wrapText="1"/>
    </xf>
    <xf numFmtId="0" fontId="3" fillId="34" borderId="0" xfId="0" applyFont="1" applyFill="1" applyBorder="1" applyAlignment="1">
      <alignment horizontal="center" vertical="top" wrapText="1"/>
    </xf>
    <xf numFmtId="172" fontId="3" fillId="34" borderId="0" xfId="0" applyNumberFormat="1" applyFont="1" applyFill="1" applyBorder="1" applyAlignment="1">
      <alignment horizontal="right" vertical="top" wrapText="1"/>
    </xf>
    <xf numFmtId="166" fontId="3" fillId="34" borderId="0" xfId="0" applyNumberFormat="1" applyFont="1" applyFill="1" applyBorder="1" applyAlignment="1">
      <alignment horizontal="right" vertical="top" wrapText="1"/>
    </xf>
    <xf numFmtId="172" fontId="3" fillId="34" borderId="0" xfId="29" applyNumberFormat="1" applyFont="1" applyFill="1" applyBorder="1" applyAlignment="1">
      <alignment horizontal="right" vertical="top" wrapText="1"/>
    </xf>
    <xf numFmtId="0" fontId="3" fillId="34" borderId="0" xfId="0" quotePrefix="1" applyFont="1" applyFill="1" applyBorder="1" applyAlignment="1">
      <alignment vertical="top"/>
    </xf>
    <xf numFmtId="0" fontId="3" fillId="34" borderId="0" xfId="0" quotePrefix="1" applyFont="1" applyFill="1" applyBorder="1" applyAlignment="1">
      <alignment vertical="top" wrapText="1"/>
    </xf>
    <xf numFmtId="166" fontId="3" fillId="34" borderId="1" xfId="29" applyNumberFormat="1" applyFont="1" applyFill="1" applyBorder="1" applyAlignment="1">
      <alignment horizontal="center" vertical="top" wrapText="1"/>
    </xf>
    <xf numFmtId="0" fontId="3" fillId="34" borderId="26" xfId="0" quotePrefix="1" applyFont="1" applyFill="1" applyBorder="1" applyAlignment="1">
      <alignment horizontal="center" vertical="top" wrapText="1"/>
    </xf>
    <xf numFmtId="0" fontId="3" fillId="34" borderId="3" xfId="0" quotePrefix="1" applyFont="1" applyFill="1" applyBorder="1" applyAlignment="1">
      <alignment horizontal="center" vertical="top" wrapText="1"/>
    </xf>
    <xf numFmtId="166" fontId="3" fillId="34" borderId="1" xfId="29" quotePrefix="1" applyNumberFormat="1" applyFont="1" applyFill="1" applyBorder="1" applyAlignment="1">
      <alignment horizontal="right" vertical="top" wrapText="1"/>
    </xf>
    <xf numFmtId="166" fontId="3" fillId="34" borderId="6" xfId="29" quotePrefix="1" applyFont="1" applyFill="1" applyBorder="1" applyAlignment="1">
      <alignment horizontal="center" vertical="top" wrapText="1"/>
    </xf>
    <xf numFmtId="166" fontId="3" fillId="34" borderId="3" xfId="0" applyNumberFormat="1" applyFont="1" applyFill="1" applyBorder="1" applyAlignment="1">
      <alignment vertical="top" wrapText="1"/>
    </xf>
    <xf numFmtId="1" fontId="3" fillId="34" borderId="0" xfId="0" applyNumberFormat="1" applyFont="1" applyFill="1" applyBorder="1" applyAlignment="1">
      <alignment horizontal="center" vertical="top"/>
    </xf>
    <xf numFmtId="166" fontId="3" fillId="34" borderId="0" xfId="30" applyFont="1" applyFill="1" applyBorder="1" applyAlignment="1">
      <alignment horizontal="center" vertical="top" wrapText="1"/>
    </xf>
    <xf numFmtId="10" fontId="3" fillId="34" borderId="1" xfId="80" applyNumberFormat="1" applyFont="1" applyFill="1" applyBorder="1" applyAlignment="1">
      <alignment horizontal="center" vertical="top" wrapText="1"/>
    </xf>
    <xf numFmtId="166" fontId="3" fillId="34" borderId="4" xfId="0" applyNumberFormat="1" applyFont="1" applyFill="1" applyBorder="1" applyAlignment="1">
      <alignment vertical="top" wrapText="1"/>
    </xf>
    <xf numFmtId="172" fontId="3" fillId="34" borderId="1" xfId="81" quotePrefix="1" applyNumberFormat="1" applyFont="1" applyFill="1" applyBorder="1" applyAlignment="1">
      <alignment horizontal="right" vertical="top" wrapText="1"/>
    </xf>
    <xf numFmtId="172" fontId="3" fillId="34" borderId="1" xfId="81" applyNumberFormat="1" applyFont="1" applyFill="1" applyBorder="1" applyAlignment="1">
      <alignment horizontal="right" vertical="top" wrapText="1"/>
    </xf>
    <xf numFmtId="172" fontId="3" fillId="34" borderId="1" xfId="43" applyNumberFormat="1" applyFont="1" applyFill="1" applyBorder="1" applyAlignment="1">
      <alignment horizontal="right" vertical="top" wrapText="1"/>
    </xf>
    <xf numFmtId="166" fontId="3" fillId="34" borderId="3" xfId="30" applyNumberFormat="1" applyFont="1" applyFill="1" applyBorder="1" applyAlignment="1">
      <alignment horizontal="right" vertical="top" wrapText="1"/>
    </xf>
    <xf numFmtId="172" fontId="3" fillId="34" borderId="3" xfId="29" applyNumberFormat="1" applyFont="1" applyFill="1" applyBorder="1" applyAlignment="1">
      <alignment horizontal="right" vertical="top" wrapText="1"/>
    </xf>
    <xf numFmtId="172" fontId="3" fillId="34" borderId="69" xfId="29" applyNumberFormat="1" applyFont="1" applyFill="1" applyBorder="1" applyAlignment="1">
      <alignment horizontal="center" vertical="top" wrapText="1"/>
    </xf>
    <xf numFmtId="0" fontId="3" fillId="34" borderId="3" xfId="75" applyFont="1" applyFill="1" applyBorder="1" applyAlignment="1">
      <alignment vertical="top" wrapText="1"/>
    </xf>
    <xf numFmtId="166" fontId="3" fillId="34" borderId="3" xfId="29" applyNumberFormat="1" applyFont="1" applyFill="1" applyBorder="1" applyAlignment="1">
      <alignment vertical="top" wrapText="1"/>
    </xf>
    <xf numFmtId="166" fontId="3" fillId="34" borderId="4" xfId="29" applyNumberFormat="1" applyFont="1" applyFill="1" applyBorder="1" applyAlignment="1">
      <alignment vertical="top" wrapText="1"/>
    </xf>
    <xf numFmtId="9" fontId="3" fillId="34" borderId="6" xfId="0" applyNumberFormat="1" applyFont="1" applyFill="1" applyBorder="1" applyAlignment="1">
      <alignment horizontal="center" vertical="top" wrapText="1"/>
    </xf>
    <xf numFmtId="166" fontId="3" fillId="34" borderId="1" xfId="65" applyNumberFormat="1" applyFont="1" applyFill="1" applyBorder="1" applyAlignment="1">
      <alignment horizontal="right" vertical="top"/>
    </xf>
    <xf numFmtId="0" fontId="3" fillId="34" borderId="3" xfId="65" applyFont="1" applyFill="1" applyBorder="1" applyAlignment="1">
      <alignment vertical="top" wrapText="1"/>
    </xf>
    <xf numFmtId="0" fontId="3" fillId="34" borderId="59" xfId="65" applyFont="1" applyFill="1" applyBorder="1" applyAlignment="1">
      <alignment vertical="top"/>
    </xf>
    <xf numFmtId="0" fontId="3" fillId="34" borderId="3" xfId="69" applyFont="1" applyFill="1" applyBorder="1" applyAlignment="1">
      <alignment vertical="top" wrapText="1"/>
    </xf>
    <xf numFmtId="0" fontId="3" fillId="34" borderId="1" xfId="68" applyFont="1" applyFill="1" applyBorder="1" applyAlignment="1">
      <alignment horizontal="center" vertical="top"/>
    </xf>
    <xf numFmtId="0" fontId="3" fillId="34" borderId="6" xfId="68" applyFont="1" applyFill="1" applyBorder="1" applyAlignment="1">
      <alignment horizontal="center" vertical="top"/>
    </xf>
    <xf numFmtId="0" fontId="3" fillId="34" borderId="1" xfId="68" quotePrefix="1" applyFont="1" applyFill="1" applyBorder="1" applyAlignment="1">
      <alignment vertical="top" wrapText="1"/>
    </xf>
    <xf numFmtId="0" fontId="3" fillId="34" borderId="18" xfId="68" applyFont="1" applyFill="1" applyBorder="1" applyAlignment="1">
      <alignment horizontal="center" vertical="top"/>
    </xf>
    <xf numFmtId="0" fontId="3" fillId="34" borderId="70" xfId="68" applyFont="1" applyFill="1" applyBorder="1" applyAlignment="1">
      <alignment vertical="top"/>
    </xf>
    <xf numFmtId="166" fontId="3" fillId="34" borderId="2" xfId="35" applyNumberFormat="1" applyFont="1" applyFill="1" applyBorder="1" applyAlignment="1">
      <alignment horizontal="right" vertical="top"/>
    </xf>
    <xf numFmtId="0" fontId="3" fillId="34" borderId="1" xfId="69" applyFont="1" applyFill="1" applyBorder="1" applyAlignment="1">
      <alignment horizontal="center" vertical="top"/>
    </xf>
    <xf numFmtId="166" fontId="3" fillId="34" borderId="1" xfId="69" applyNumberFormat="1" applyFont="1" applyFill="1" applyBorder="1" applyAlignment="1">
      <alignment vertical="top"/>
    </xf>
    <xf numFmtId="0" fontId="3" fillId="34" borderId="71" xfId="69" applyFont="1" applyFill="1" applyBorder="1" applyAlignment="1">
      <alignment vertical="top"/>
    </xf>
    <xf numFmtId="0" fontId="3" fillId="34" borderId="54" xfId="69" applyFont="1" applyFill="1" applyBorder="1" applyAlignment="1">
      <alignment horizontal="center" vertical="top"/>
    </xf>
    <xf numFmtId="0" fontId="3" fillId="34" borderId="72" xfId="69" applyFont="1" applyFill="1" applyBorder="1" applyAlignment="1">
      <alignment horizontal="center" vertical="top"/>
    </xf>
    <xf numFmtId="0" fontId="3" fillId="34" borderId="4" xfId="69" applyFont="1" applyFill="1" applyBorder="1" applyAlignment="1">
      <alignment horizontal="left" vertical="top" wrapText="1"/>
    </xf>
    <xf numFmtId="166" fontId="3" fillId="34" borderId="4" xfId="36" applyFont="1" applyFill="1" applyBorder="1" applyAlignment="1">
      <alignment horizontal="center" vertical="top"/>
    </xf>
    <xf numFmtId="0" fontId="3" fillId="34" borderId="4" xfId="69" applyFont="1" applyFill="1" applyBorder="1" applyAlignment="1">
      <alignment horizontal="center" vertical="top"/>
    </xf>
    <xf numFmtId="166" fontId="3" fillId="34" borderId="3" xfId="36" applyFont="1" applyFill="1" applyBorder="1" applyAlignment="1">
      <alignment vertical="top"/>
    </xf>
    <xf numFmtId="0" fontId="3" fillId="34" borderId="3" xfId="69" applyFont="1" applyFill="1" applyBorder="1" applyAlignment="1">
      <alignment vertical="top"/>
    </xf>
    <xf numFmtId="172" fontId="3" fillId="34" borderId="1" xfId="36" applyNumberFormat="1" applyFont="1" applyFill="1" applyBorder="1" applyAlignment="1">
      <alignment horizontal="right" vertical="top"/>
    </xf>
    <xf numFmtId="172" fontId="3" fillId="34" borderId="1" xfId="36" applyNumberFormat="1" applyFont="1" applyFill="1" applyBorder="1" applyAlignment="1">
      <alignment horizontal="right" vertical="top" wrapText="1"/>
    </xf>
    <xf numFmtId="0" fontId="3" fillId="34" borderId="24" xfId="69" applyFont="1" applyFill="1" applyBorder="1" applyAlignment="1">
      <alignment vertical="top"/>
    </xf>
    <xf numFmtId="2" fontId="3" fillId="34" borderId="1" xfId="44" applyNumberFormat="1" applyFont="1" applyFill="1" applyBorder="1" applyAlignment="1">
      <alignment horizontal="right" vertical="top" wrapText="1"/>
    </xf>
    <xf numFmtId="0" fontId="3" fillId="34" borderId="4" xfId="70" applyFont="1" applyFill="1" applyBorder="1" applyAlignment="1">
      <alignment horizontal="left" vertical="top" wrapText="1"/>
    </xf>
    <xf numFmtId="166" fontId="3" fillId="34" borderId="1" xfId="37" quotePrefix="1" applyFont="1" applyFill="1" applyBorder="1" applyAlignment="1">
      <alignment horizontal="right" vertical="top" wrapText="1"/>
    </xf>
    <xf numFmtId="0" fontId="3" fillId="34" borderId="1" xfId="37" applyNumberFormat="1" applyFont="1" applyFill="1" applyBorder="1" applyAlignment="1">
      <alignment horizontal="right" vertical="top" wrapText="1"/>
    </xf>
    <xf numFmtId="173" fontId="3" fillId="34" borderId="1" xfId="37" applyNumberFormat="1" applyFont="1" applyFill="1" applyBorder="1" applyAlignment="1">
      <alignment horizontal="right" vertical="top" wrapText="1"/>
    </xf>
    <xf numFmtId="167" fontId="3" fillId="34" borderId="1" xfId="43" applyFont="1" applyFill="1" applyBorder="1" applyAlignment="1">
      <alignment vertical="top" wrapText="1"/>
    </xf>
    <xf numFmtId="172" fontId="3" fillId="34" borderId="1" xfId="37" applyNumberFormat="1" applyFont="1" applyFill="1" applyBorder="1" applyAlignment="1">
      <alignment horizontal="right" vertical="top" wrapText="1"/>
    </xf>
    <xf numFmtId="167" fontId="3" fillId="34" borderId="57" xfId="43" applyFont="1" applyFill="1" applyBorder="1" applyAlignment="1">
      <alignment vertical="top" wrapText="1"/>
    </xf>
    <xf numFmtId="1" fontId="3" fillId="34" borderId="1" xfId="80" applyNumberFormat="1" applyFont="1" applyFill="1" applyBorder="1" applyAlignment="1">
      <alignment horizontal="right" vertical="top" wrapText="1"/>
    </xf>
    <xf numFmtId="170" fontId="3" fillId="34" borderId="2" xfId="70" applyNumberFormat="1" applyFont="1" applyFill="1" applyBorder="1" applyAlignment="1">
      <alignment horizontal="right" vertical="top" wrapText="1"/>
    </xf>
    <xf numFmtId="170" fontId="3" fillId="34" borderId="0" xfId="70" applyNumberFormat="1" applyFont="1" applyFill="1" applyBorder="1" applyAlignment="1">
      <alignment horizontal="right" vertical="top" wrapText="1"/>
    </xf>
    <xf numFmtId="0" fontId="3" fillId="34" borderId="1" xfId="71" applyFont="1" applyFill="1" applyBorder="1" applyAlignment="1">
      <alignment horizontal="center" vertical="top" wrapText="1"/>
    </xf>
    <xf numFmtId="0" fontId="3" fillId="34" borderId="3" xfId="63" applyFont="1" applyFill="1" applyBorder="1" applyAlignment="1">
      <alignment vertical="top" wrapText="1"/>
    </xf>
    <xf numFmtId="166" fontId="3" fillId="34" borderId="1" xfId="63" applyNumberFormat="1" applyFont="1" applyFill="1" applyBorder="1" applyAlignment="1">
      <alignment vertical="top"/>
    </xf>
    <xf numFmtId="166" fontId="3" fillId="34" borderId="54" xfId="63" applyNumberFormat="1" applyFont="1" applyFill="1" applyBorder="1" applyAlignment="1">
      <alignment horizontal="center" vertical="top"/>
    </xf>
    <xf numFmtId="166" fontId="3" fillId="34" borderId="7" xfId="30" applyFont="1" applyFill="1" applyBorder="1" applyAlignment="1">
      <alignment horizontal="right" vertical="top" wrapText="1"/>
    </xf>
    <xf numFmtId="0" fontId="3" fillId="34" borderId="70" xfId="63" applyFont="1" applyFill="1" applyBorder="1" applyAlignment="1">
      <alignment vertical="top"/>
    </xf>
    <xf numFmtId="0" fontId="3" fillId="34" borderId="27" xfId="63" applyFont="1" applyFill="1" applyBorder="1" applyAlignment="1">
      <alignment vertical="top"/>
    </xf>
    <xf numFmtId="0" fontId="3" fillId="34" borderId="28" xfId="63" applyFont="1" applyFill="1" applyBorder="1" applyAlignment="1">
      <alignment vertical="top"/>
    </xf>
    <xf numFmtId="166" fontId="3" fillId="34" borderId="2" xfId="63" applyNumberFormat="1" applyFont="1" applyFill="1" applyBorder="1" applyAlignment="1">
      <alignment horizontal="right" vertical="top"/>
    </xf>
    <xf numFmtId="0" fontId="3" fillId="34" borderId="1" xfId="63" applyFont="1" applyFill="1" applyBorder="1" applyAlignment="1">
      <alignment horizontal="right" vertical="top"/>
    </xf>
    <xf numFmtId="0" fontId="3" fillId="34" borderId="5" xfId="72" applyFont="1" applyFill="1" applyBorder="1" applyAlignment="1">
      <alignment horizontal="center" vertical="top" wrapText="1"/>
    </xf>
    <xf numFmtId="167" fontId="3" fillId="34" borderId="5" xfId="39" applyNumberFormat="1" applyFont="1" applyFill="1" applyBorder="1" applyAlignment="1">
      <alignment horizontal="center" vertical="top" wrapText="1"/>
    </xf>
    <xf numFmtId="166" fontId="3" fillId="34" borderId="5" xfId="72" applyNumberFormat="1" applyFont="1" applyFill="1" applyBorder="1" applyAlignment="1">
      <alignment horizontal="right" vertical="top" wrapText="1"/>
    </xf>
    <xf numFmtId="166" fontId="3" fillId="34" borderId="5" xfId="72" applyNumberFormat="1" applyFont="1" applyFill="1" applyBorder="1" applyAlignment="1">
      <alignment vertical="top" wrapText="1"/>
    </xf>
    <xf numFmtId="0" fontId="3" fillId="34" borderId="14" xfId="72" applyFont="1" applyFill="1" applyBorder="1" applyAlignment="1">
      <alignment vertical="top" wrapText="1"/>
    </xf>
    <xf numFmtId="0" fontId="3" fillId="34" borderId="24" xfId="72" applyFont="1" applyFill="1" applyBorder="1" applyAlignment="1">
      <alignment vertical="top"/>
    </xf>
    <xf numFmtId="166" fontId="3" fillId="34" borderId="2" xfId="72" applyNumberFormat="1" applyFont="1" applyFill="1" applyBorder="1" applyAlignment="1">
      <alignment vertical="top" wrapText="1"/>
    </xf>
    <xf numFmtId="0" fontId="3" fillId="34" borderId="0" xfId="72" applyFont="1" applyFill="1" applyBorder="1" applyAlignment="1">
      <alignment vertical="top"/>
    </xf>
    <xf numFmtId="166" fontId="3" fillId="34" borderId="0" xfId="72" applyNumberFormat="1" applyFont="1" applyFill="1" applyBorder="1" applyAlignment="1">
      <alignment vertical="top" wrapText="1"/>
    </xf>
    <xf numFmtId="0" fontId="3" fillId="34" borderId="1" xfId="73" applyFont="1" applyFill="1" applyBorder="1" applyAlignment="1">
      <alignment vertical="top"/>
    </xf>
    <xf numFmtId="166" fontId="3" fillId="34" borderId="1" xfId="73" applyNumberFormat="1" applyFont="1" applyFill="1" applyBorder="1" applyAlignment="1">
      <alignment vertical="top"/>
    </xf>
    <xf numFmtId="0" fontId="3" fillId="34" borderId="7" xfId="73" applyFont="1" applyFill="1" applyBorder="1" applyAlignment="1">
      <alignment vertical="top"/>
    </xf>
    <xf numFmtId="0" fontId="3" fillId="34" borderId="6" xfId="73" applyFont="1" applyFill="1" applyBorder="1" applyAlignment="1">
      <alignment vertical="top" wrapText="1"/>
    </xf>
    <xf numFmtId="166" fontId="3" fillId="34" borderId="1" xfId="46" applyNumberFormat="1" applyFont="1" applyFill="1" applyBorder="1" applyAlignment="1">
      <alignment horizontal="left" vertical="top"/>
    </xf>
    <xf numFmtId="166" fontId="3" fillId="34" borderId="1" xfId="40" applyNumberFormat="1" applyFont="1" applyFill="1" applyBorder="1" applyAlignment="1">
      <alignment horizontal="right" vertical="top"/>
    </xf>
    <xf numFmtId="166" fontId="3" fillId="34" borderId="1" xfId="40" applyNumberFormat="1" applyFont="1" applyFill="1" applyBorder="1" applyAlignment="1">
      <alignment horizontal="right" vertical="top" wrapText="1"/>
    </xf>
    <xf numFmtId="0" fontId="3" fillId="34" borderId="5" xfId="73" applyFont="1" applyFill="1" applyBorder="1" applyAlignment="1">
      <alignment horizontal="center" vertical="top" wrapText="1"/>
    </xf>
    <xf numFmtId="166" fontId="3" fillId="34" borderId="0" xfId="73" applyNumberFormat="1" applyFont="1" applyFill="1" applyBorder="1" applyAlignment="1">
      <alignment vertical="top"/>
    </xf>
    <xf numFmtId="166" fontId="3" fillId="34" borderId="4" xfId="73" applyNumberFormat="1" applyFont="1" applyFill="1" applyBorder="1" applyAlignment="1">
      <alignment vertical="top"/>
    </xf>
    <xf numFmtId="172" fontId="3" fillId="34" borderId="5" xfId="46" applyNumberFormat="1" applyFont="1" applyFill="1" applyBorder="1" applyAlignment="1">
      <alignment horizontal="center" vertical="top"/>
    </xf>
    <xf numFmtId="172" fontId="3" fillId="34" borderId="71" xfId="46" applyNumberFormat="1" applyFont="1" applyFill="1" applyBorder="1" applyAlignment="1">
      <alignment vertical="top"/>
    </xf>
    <xf numFmtId="172" fontId="3" fillId="34" borderId="1" xfId="46" applyNumberFormat="1" applyFont="1" applyFill="1" applyBorder="1" applyAlignment="1">
      <alignment horizontal="center" vertical="top"/>
    </xf>
    <xf numFmtId="0" fontId="3" fillId="34" borderId="70" xfId="73" applyFont="1" applyFill="1" applyBorder="1" applyAlignment="1">
      <alignment vertical="top"/>
    </xf>
    <xf numFmtId="0" fontId="3" fillId="34" borderId="27" xfId="73" applyFont="1" applyFill="1" applyBorder="1" applyAlignment="1">
      <alignment vertical="top"/>
    </xf>
    <xf numFmtId="0" fontId="3" fillId="34" borderId="28" xfId="73" applyFont="1" applyFill="1" applyBorder="1" applyAlignment="1">
      <alignment vertical="top"/>
    </xf>
    <xf numFmtId="166" fontId="3" fillId="34" borderId="2" xfId="40" applyNumberFormat="1" applyFont="1" applyFill="1" applyBorder="1" applyAlignment="1">
      <alignment vertical="top"/>
    </xf>
    <xf numFmtId="0" fontId="3" fillId="34" borderId="6" xfId="0" applyFont="1" applyFill="1" applyBorder="1" applyAlignment="1">
      <alignment horizontal="center" vertical="top"/>
    </xf>
    <xf numFmtId="167" fontId="3" fillId="34" borderId="1" xfId="0" applyNumberFormat="1" applyFont="1" applyFill="1" applyBorder="1" applyAlignment="1">
      <alignment horizontal="center" vertical="top" wrapText="1"/>
    </xf>
    <xf numFmtId="167" fontId="3" fillId="34" borderId="1" xfId="0" applyNumberFormat="1" applyFont="1" applyFill="1" applyBorder="1" applyAlignment="1">
      <alignment horizontal="right" vertical="top" wrapText="1"/>
    </xf>
    <xf numFmtId="167" fontId="3" fillId="34" borderId="1" xfId="28" applyFont="1" applyFill="1" applyBorder="1" applyAlignment="1">
      <alignment vertical="top" wrapText="1"/>
    </xf>
    <xf numFmtId="0" fontId="3" fillId="34" borderId="0" xfId="0" applyFont="1" applyFill="1" applyAlignment="1">
      <alignment horizontal="center" vertical="top" wrapText="1"/>
    </xf>
    <xf numFmtId="167" fontId="3" fillId="34" borderId="3" xfId="42" applyFont="1" applyFill="1" applyBorder="1" applyAlignment="1">
      <alignment vertical="top" wrapText="1"/>
    </xf>
    <xf numFmtId="167" fontId="3" fillId="34" borderId="1" xfId="42" applyNumberFormat="1" applyFont="1" applyFill="1" applyBorder="1" applyAlignment="1">
      <alignment vertical="top" wrapText="1"/>
    </xf>
    <xf numFmtId="167" fontId="3" fillId="34" borderId="1" xfId="0" applyNumberFormat="1" applyFont="1" applyFill="1" applyBorder="1" applyAlignment="1">
      <alignment vertical="top" wrapText="1"/>
    </xf>
    <xf numFmtId="0" fontId="3" fillId="34" borderId="3" xfId="0" applyFont="1" applyFill="1" applyBorder="1" applyAlignment="1">
      <alignment vertical="top"/>
    </xf>
    <xf numFmtId="0" fontId="3" fillId="34" borderId="73" xfId="0" applyFont="1" applyFill="1" applyBorder="1" applyAlignment="1">
      <alignment vertical="top" wrapText="1"/>
    </xf>
    <xf numFmtId="0" fontId="3" fillId="34" borderId="74" xfId="0" applyFont="1" applyFill="1" applyBorder="1" applyAlignment="1">
      <alignment vertical="top" wrapText="1"/>
    </xf>
    <xf numFmtId="167" fontId="3" fillId="34" borderId="1" xfId="42" applyNumberFormat="1" applyFont="1" applyFill="1" applyBorder="1" applyAlignment="1">
      <alignment horizontal="center" vertical="top" wrapText="1"/>
    </xf>
    <xf numFmtId="167" fontId="3" fillId="34" borderId="3" xfId="42" applyNumberFormat="1" applyFont="1" applyFill="1" applyBorder="1" applyAlignment="1">
      <alignment horizontal="center" vertical="top" wrapText="1"/>
    </xf>
    <xf numFmtId="0" fontId="3" fillId="35" borderId="1" xfId="0" applyFont="1" applyFill="1" applyBorder="1" applyAlignment="1">
      <alignment horizontal="center" vertical="top" wrapText="1"/>
    </xf>
    <xf numFmtId="167" fontId="3" fillId="34" borderId="1" xfId="42" applyFont="1" applyFill="1" applyBorder="1" applyAlignment="1">
      <alignment vertical="top" wrapText="1"/>
    </xf>
    <xf numFmtId="172" fontId="3" fillId="34" borderId="5" xfId="43" applyNumberFormat="1" applyFont="1" applyFill="1" applyBorder="1" applyAlignment="1">
      <alignment horizontal="right" vertical="top" wrapText="1"/>
    </xf>
    <xf numFmtId="166" fontId="3" fillId="34" borderId="7" xfId="30" applyNumberFormat="1" applyFont="1" applyFill="1" applyBorder="1" applyAlignment="1">
      <alignment horizontal="right" vertical="top" wrapText="1"/>
    </xf>
    <xf numFmtId="166" fontId="3" fillId="34" borderId="10" xfId="30" applyNumberFormat="1" applyFont="1" applyFill="1" applyBorder="1" applyAlignment="1">
      <alignment horizontal="right" vertical="top" wrapText="1"/>
    </xf>
    <xf numFmtId="166" fontId="3" fillId="34" borderId="18" xfId="30" applyNumberFormat="1" applyFont="1" applyFill="1" applyBorder="1" applyAlignment="1">
      <alignment horizontal="right" vertical="top" wrapText="1"/>
    </xf>
    <xf numFmtId="172" fontId="3" fillId="34" borderId="7" xfId="29" applyNumberFormat="1" applyFont="1" applyFill="1" applyBorder="1" applyAlignment="1">
      <alignment horizontal="right" vertical="top"/>
    </xf>
    <xf numFmtId="166" fontId="3" fillId="34" borderId="10" xfId="0" applyNumberFormat="1" applyFont="1" applyFill="1" applyBorder="1" applyAlignment="1">
      <alignment horizontal="right" vertical="top"/>
    </xf>
    <xf numFmtId="172" fontId="3" fillId="34" borderId="3" xfId="29" applyNumberFormat="1" applyFont="1" applyFill="1" applyBorder="1" applyAlignment="1">
      <alignment horizontal="center" vertical="top" wrapText="1"/>
    </xf>
    <xf numFmtId="166" fontId="3" fillId="35" borderId="1" xfId="29" applyNumberFormat="1" applyFont="1" applyFill="1" applyBorder="1" applyAlignment="1">
      <alignment horizontal="right" vertical="top" wrapText="1"/>
    </xf>
    <xf numFmtId="166" fontId="3" fillId="34" borderId="5" xfId="29" applyNumberFormat="1" applyFont="1" applyFill="1" applyBorder="1" applyAlignment="1">
      <alignment horizontal="right" vertical="top" wrapText="1"/>
    </xf>
    <xf numFmtId="172" fontId="3" fillId="34" borderId="5" xfId="29" applyNumberFormat="1" applyFont="1" applyFill="1" applyBorder="1" applyAlignment="1">
      <alignment horizontal="right" vertical="top" wrapText="1"/>
    </xf>
    <xf numFmtId="172" fontId="3" fillId="35" borderId="1" xfId="29" applyNumberFormat="1" applyFont="1" applyFill="1" applyBorder="1" applyAlignment="1">
      <alignment horizontal="right" vertical="top" wrapText="1"/>
    </xf>
    <xf numFmtId="172" fontId="3" fillId="34" borderId="3" xfId="0" applyNumberFormat="1" applyFont="1" applyFill="1" applyBorder="1" applyAlignment="1">
      <alignment horizontal="right" vertical="top"/>
    </xf>
    <xf numFmtId="166" fontId="3" fillId="34" borderId="3" xfId="0" applyNumberFormat="1" applyFont="1" applyFill="1" applyBorder="1" applyAlignment="1">
      <alignment horizontal="right" vertical="top"/>
    </xf>
    <xf numFmtId="172" fontId="3" fillId="34" borderId="3" xfId="29" applyNumberFormat="1" applyFont="1" applyFill="1" applyBorder="1" applyAlignment="1">
      <alignment horizontal="right" vertical="top"/>
    </xf>
    <xf numFmtId="0" fontId="3" fillId="34" borderId="13" xfId="68" applyFont="1" applyFill="1" applyBorder="1" applyAlignment="1">
      <alignment horizontal="center" vertical="top"/>
    </xf>
    <xf numFmtId="2" fontId="3" fillId="34" borderId="1" xfId="78" applyNumberFormat="1" applyFont="1" applyFill="1" applyBorder="1" applyAlignment="1">
      <alignment horizontal="center" vertical="top" wrapText="1"/>
    </xf>
    <xf numFmtId="167" fontId="3" fillId="34" borderId="92" xfId="28" applyFont="1" applyFill="1" applyBorder="1" applyAlignment="1">
      <alignment vertical="top" wrapText="1"/>
    </xf>
    <xf numFmtId="3" fontId="3" fillId="34" borderId="1" xfId="0" applyNumberFormat="1" applyFont="1" applyFill="1" applyBorder="1" applyAlignment="1">
      <alignment vertical="top"/>
    </xf>
    <xf numFmtId="166" fontId="3" fillId="34" borderId="1" xfId="29" applyNumberFormat="1" applyFont="1" applyFill="1" applyBorder="1" applyAlignment="1">
      <alignment vertical="top"/>
    </xf>
    <xf numFmtId="0" fontId="3" fillId="34" borderId="0" xfId="0" applyFont="1" applyFill="1" applyAlignment="1">
      <alignment horizontal="left" vertical="top" wrapText="1"/>
    </xf>
    <xf numFmtId="0" fontId="3" fillId="34" borderId="1" xfId="0" applyFont="1" applyFill="1" applyBorder="1" applyAlignment="1">
      <alignment horizontal="right" vertical="top"/>
    </xf>
    <xf numFmtId="0" fontId="3" fillId="34" borderId="0" xfId="0" applyFont="1" applyFill="1" applyAlignment="1">
      <alignment horizontal="right" vertical="top"/>
    </xf>
    <xf numFmtId="166" fontId="3" fillId="34" borderId="5" xfId="29" applyFont="1" applyFill="1" applyBorder="1" applyAlignment="1">
      <alignment horizontal="right" vertical="top" wrapText="1"/>
    </xf>
    <xf numFmtId="166" fontId="3" fillId="34" borderId="2" xfId="29" applyFont="1" applyFill="1" applyBorder="1" applyAlignment="1">
      <alignment horizontal="right" vertical="top" wrapText="1"/>
    </xf>
    <xf numFmtId="0" fontId="3" fillId="34" borderId="55" xfId="0" applyFont="1" applyFill="1" applyBorder="1" applyAlignment="1">
      <alignment vertical="top" wrapText="1"/>
    </xf>
    <xf numFmtId="0" fontId="3" fillId="34" borderId="52" xfId="70" applyFont="1" applyFill="1" applyBorder="1" applyAlignment="1">
      <alignment horizontal="center" vertical="top" wrapText="1"/>
    </xf>
    <xf numFmtId="0" fontId="3" fillId="34" borderId="52" xfId="70" applyFont="1" applyFill="1" applyBorder="1" applyAlignment="1">
      <alignment vertical="top" wrapText="1"/>
    </xf>
    <xf numFmtId="166" fontId="3" fillId="34" borderId="52" xfId="70" applyNumberFormat="1" applyFont="1" applyFill="1" applyBorder="1" applyAlignment="1">
      <alignment horizontal="right" vertical="top" wrapText="1"/>
    </xf>
    <xf numFmtId="2" fontId="3" fillId="34" borderId="52" xfId="70" applyNumberFormat="1" applyFont="1" applyFill="1" applyBorder="1" applyAlignment="1">
      <alignment horizontal="right" vertical="top" wrapText="1"/>
    </xf>
    <xf numFmtId="0" fontId="3" fillId="34" borderId="17" xfId="70" applyFont="1" applyFill="1" applyBorder="1" applyAlignment="1">
      <alignment vertical="top" wrapText="1"/>
    </xf>
    <xf numFmtId="0" fontId="3" fillId="34" borderId="54" xfId="70" applyFont="1" applyFill="1" applyBorder="1" applyAlignment="1">
      <alignment vertical="top" wrapText="1"/>
    </xf>
    <xf numFmtId="0" fontId="3" fillId="34" borderId="5" xfId="37" applyNumberFormat="1" applyFont="1" applyFill="1" applyBorder="1" applyAlignment="1">
      <alignment horizontal="right" vertical="top" wrapText="1"/>
    </xf>
    <xf numFmtId="0" fontId="3" fillId="34" borderId="75" xfId="70" applyFont="1" applyFill="1" applyBorder="1" applyAlignment="1">
      <alignment vertical="top" wrapText="1"/>
    </xf>
    <xf numFmtId="0" fontId="3" fillId="34" borderId="6" xfId="70" applyFont="1" applyFill="1" applyBorder="1" applyAlignment="1">
      <alignment vertical="top" wrapText="1"/>
    </xf>
    <xf numFmtId="0" fontId="3" fillId="34" borderId="72" xfId="70" applyFont="1" applyFill="1" applyBorder="1" applyAlignment="1">
      <alignment vertical="top" wrapText="1"/>
    </xf>
    <xf numFmtId="170" fontId="3" fillId="34" borderId="0" xfId="0" applyNumberFormat="1" applyFont="1" applyFill="1" applyAlignment="1">
      <alignment vertical="top"/>
    </xf>
    <xf numFmtId="0" fontId="3" fillId="34" borderId="3" xfId="71" applyFont="1" applyFill="1" applyBorder="1" applyAlignment="1">
      <alignment vertical="top" wrapText="1"/>
    </xf>
    <xf numFmtId="0" fontId="3" fillId="34" borderId="54" xfId="71" applyFont="1" applyFill="1" applyBorder="1" applyAlignment="1">
      <alignment horizontal="center" vertical="top" wrapText="1"/>
    </xf>
    <xf numFmtId="0" fontId="3" fillId="34" borderId="4" xfId="71" applyFont="1" applyFill="1" applyBorder="1" applyAlignment="1">
      <alignment vertical="top" wrapText="1"/>
    </xf>
    <xf numFmtId="3" fontId="3" fillId="34" borderId="1" xfId="71" applyNumberFormat="1" applyFont="1" applyFill="1" applyBorder="1" applyAlignment="1">
      <alignment vertical="top" wrapText="1"/>
    </xf>
    <xf numFmtId="166" fontId="3" fillId="34" borderId="1" xfId="38" applyFont="1" applyFill="1" applyBorder="1" applyAlignment="1">
      <alignment vertical="top" wrapText="1"/>
    </xf>
    <xf numFmtId="166" fontId="3" fillId="34" borderId="54" xfId="38" applyFont="1" applyFill="1" applyBorder="1" applyAlignment="1">
      <alignment horizontal="center" vertical="top" wrapText="1"/>
    </xf>
    <xf numFmtId="0" fontId="3" fillId="34" borderId="1" xfId="71" applyFont="1" applyFill="1" applyBorder="1" applyAlignment="1">
      <alignment horizontal="right" vertical="top" wrapText="1"/>
    </xf>
    <xf numFmtId="3" fontId="3" fillId="34" borderId="1" xfId="71" applyNumberFormat="1" applyFont="1" applyFill="1" applyBorder="1" applyAlignment="1">
      <alignment horizontal="right" vertical="top" wrapText="1"/>
    </xf>
    <xf numFmtId="166" fontId="3" fillId="34" borderId="1" xfId="38" applyFont="1" applyFill="1" applyBorder="1" applyAlignment="1">
      <alignment horizontal="center" vertical="top" wrapText="1"/>
    </xf>
    <xf numFmtId="174" fontId="3" fillId="34" borderId="1" xfId="71" applyNumberFormat="1" applyFont="1" applyFill="1" applyBorder="1" applyAlignment="1">
      <alignment vertical="top" wrapText="1"/>
    </xf>
    <xf numFmtId="0" fontId="3" fillId="34" borderId="1" xfId="71" applyFont="1" applyFill="1" applyBorder="1" applyAlignment="1">
      <alignment horizontal="left" vertical="top" wrapText="1"/>
    </xf>
    <xf numFmtId="0" fontId="3" fillId="34" borderId="3" xfId="71" applyFont="1" applyFill="1" applyBorder="1" applyAlignment="1">
      <alignment horizontal="center" vertical="top" wrapText="1"/>
    </xf>
    <xf numFmtId="3" fontId="3" fillId="34" borderId="3" xfId="71" applyNumberFormat="1" applyFont="1" applyFill="1" applyBorder="1" applyAlignment="1">
      <alignment vertical="top" wrapText="1"/>
    </xf>
    <xf numFmtId="167" fontId="3" fillId="34" borderId="1" xfId="71" applyNumberFormat="1" applyFont="1" applyFill="1" applyBorder="1" applyAlignment="1">
      <alignment vertical="top" wrapText="1"/>
    </xf>
    <xf numFmtId="0" fontId="3" fillId="34" borderId="5" xfId="71" applyFont="1" applyFill="1" applyBorder="1" applyAlignment="1">
      <alignment vertical="top" wrapText="1"/>
    </xf>
    <xf numFmtId="0" fontId="3" fillId="34" borderId="1" xfId="71" applyFont="1" applyFill="1" applyBorder="1" applyAlignment="1">
      <alignment horizontal="justify" vertical="top" wrapText="1"/>
    </xf>
    <xf numFmtId="166" fontId="3" fillId="34" borderId="1" xfId="38" applyFont="1" applyFill="1" applyBorder="1" applyAlignment="1">
      <alignment horizontal="right" vertical="top" wrapText="1"/>
    </xf>
    <xf numFmtId="0" fontId="3" fillId="34" borderId="70" xfId="71" applyFont="1" applyFill="1" applyBorder="1" applyAlignment="1">
      <alignment vertical="top"/>
    </xf>
    <xf numFmtId="0" fontId="3" fillId="34" borderId="27" xfId="71" applyFont="1" applyFill="1" applyBorder="1" applyAlignment="1">
      <alignment vertical="top" wrapText="1"/>
    </xf>
    <xf numFmtId="0" fontId="3" fillId="34" borderId="28" xfId="71" applyFont="1" applyFill="1" applyBorder="1" applyAlignment="1">
      <alignment vertical="top" wrapText="1"/>
    </xf>
    <xf numFmtId="0" fontId="3" fillId="34" borderId="2" xfId="71" applyFont="1" applyFill="1" applyBorder="1" applyAlignment="1">
      <alignment vertical="top" wrapText="1"/>
    </xf>
    <xf numFmtId="0" fontId="3" fillId="34" borderId="2" xfId="71" applyFont="1" applyFill="1" applyBorder="1" applyAlignment="1">
      <alignment horizontal="center" vertical="top" wrapText="1"/>
    </xf>
    <xf numFmtId="166" fontId="3" fillId="34" borderId="2" xfId="71" applyNumberFormat="1" applyFont="1" applyFill="1" applyBorder="1" applyAlignment="1">
      <alignment vertical="top" wrapText="1"/>
    </xf>
    <xf numFmtId="166" fontId="3" fillId="34" borderId="55" xfId="71" applyNumberFormat="1" applyFont="1" applyFill="1" applyBorder="1" applyAlignment="1">
      <alignment vertical="top" wrapText="1"/>
    </xf>
    <xf numFmtId="0" fontId="3" fillId="34" borderId="15" xfId="63" applyFont="1" applyFill="1" applyBorder="1" applyAlignment="1">
      <alignment horizontal="center" vertical="top" wrapText="1"/>
    </xf>
    <xf numFmtId="0" fontId="3" fillId="34" borderId="0" xfId="63" applyFont="1" applyFill="1" applyBorder="1" applyAlignment="1">
      <alignment horizontal="center" vertical="top" wrapText="1"/>
    </xf>
    <xf numFmtId="166" fontId="3" fillId="34" borderId="0" xfId="63" applyNumberFormat="1" applyFont="1" applyFill="1" applyBorder="1" applyAlignment="1">
      <alignment horizontal="center" vertical="top" wrapText="1"/>
    </xf>
    <xf numFmtId="0" fontId="3" fillId="34" borderId="0" xfId="0" applyFont="1" applyFill="1" applyBorder="1"/>
    <xf numFmtId="0" fontId="3" fillId="34" borderId="1" xfId="63" applyFont="1" applyFill="1" applyBorder="1" applyAlignment="1">
      <alignment horizontal="center" vertical="top"/>
    </xf>
    <xf numFmtId="166" fontId="3" fillId="34" borderId="1" xfId="63" applyNumberFormat="1" applyFont="1" applyFill="1" applyBorder="1" applyAlignment="1">
      <alignment horizontal="right" vertical="top"/>
    </xf>
    <xf numFmtId="0" fontId="3" fillId="34" borderId="7" xfId="63" applyFont="1" applyFill="1" applyBorder="1" applyAlignment="1">
      <alignment horizontal="right" vertical="top"/>
    </xf>
    <xf numFmtId="166" fontId="3" fillId="34" borderId="1" xfId="52" applyNumberFormat="1" applyFont="1" applyFill="1" applyBorder="1" applyAlignment="1">
      <alignment horizontal="right" vertical="top" wrapText="1"/>
    </xf>
    <xf numFmtId="0" fontId="3" fillId="34" borderId="5" xfId="63" applyFont="1" applyFill="1" applyBorder="1" applyAlignment="1">
      <alignment horizontal="left" vertical="top" wrapText="1"/>
    </xf>
    <xf numFmtId="0" fontId="3" fillId="34" borderId="5" xfId="63" applyFont="1" applyFill="1" applyBorder="1" applyAlignment="1">
      <alignment horizontal="center" vertical="top" wrapText="1"/>
    </xf>
    <xf numFmtId="0" fontId="3" fillId="34" borderId="5" xfId="63" applyFont="1" applyFill="1" applyBorder="1" applyAlignment="1">
      <alignment horizontal="right" vertical="top" wrapText="1"/>
    </xf>
    <xf numFmtId="166" fontId="3" fillId="34" borderId="5" xfId="52" applyNumberFormat="1" applyFont="1" applyFill="1" applyBorder="1" applyAlignment="1">
      <alignment horizontal="right" vertical="top" wrapText="1"/>
    </xf>
    <xf numFmtId="166" fontId="3" fillId="34" borderId="5" xfId="63" applyNumberFormat="1" applyFont="1" applyFill="1" applyBorder="1" applyAlignment="1">
      <alignment horizontal="right" vertical="top"/>
    </xf>
    <xf numFmtId="0" fontId="3" fillId="34" borderId="14" xfId="63" applyFont="1" applyFill="1" applyBorder="1" applyAlignment="1">
      <alignment horizontal="right" vertical="top" wrapText="1"/>
    </xf>
    <xf numFmtId="166" fontId="3" fillId="34" borderId="5" xfId="30" applyFont="1" applyFill="1" applyBorder="1" applyAlignment="1">
      <alignment horizontal="right" vertical="top" wrapText="1"/>
    </xf>
    <xf numFmtId="0" fontId="3" fillId="34" borderId="1" xfId="63" quotePrefix="1" applyFont="1" applyFill="1" applyBorder="1" applyAlignment="1">
      <alignment vertical="top" wrapText="1"/>
    </xf>
    <xf numFmtId="0" fontId="3" fillId="34" borderId="3" xfId="63" applyFont="1" applyFill="1" applyBorder="1" applyAlignment="1">
      <alignment horizontal="right" vertical="top" wrapText="1"/>
    </xf>
    <xf numFmtId="166" fontId="3" fillId="34" borderId="3" xfId="52" applyNumberFormat="1" applyFont="1" applyFill="1" applyBorder="1" applyAlignment="1">
      <alignment horizontal="right" vertical="top" wrapText="1"/>
    </xf>
    <xf numFmtId="166" fontId="3" fillId="34" borderId="3" xfId="63" applyNumberFormat="1" applyFont="1" applyFill="1" applyBorder="1" applyAlignment="1">
      <alignment horizontal="right" vertical="top"/>
    </xf>
    <xf numFmtId="166" fontId="3" fillId="34" borderId="3" xfId="30" applyNumberFormat="1" applyFont="1" applyFill="1" applyBorder="1" applyAlignment="1">
      <alignment horizontal="right" vertical="top"/>
    </xf>
    <xf numFmtId="166" fontId="3" fillId="34" borderId="3" xfId="30" applyFont="1" applyFill="1" applyBorder="1" applyAlignment="1">
      <alignment vertical="top" wrapText="1"/>
    </xf>
    <xf numFmtId="166" fontId="3" fillId="34" borderId="5" xfId="30" applyNumberFormat="1" applyFont="1" applyFill="1" applyBorder="1" applyAlignment="1">
      <alignment horizontal="right" vertical="top"/>
    </xf>
    <xf numFmtId="166" fontId="3" fillId="34" borderId="5" xfId="30" applyFont="1" applyFill="1" applyBorder="1" applyAlignment="1">
      <alignment vertical="top" wrapText="1"/>
    </xf>
    <xf numFmtId="166" fontId="3" fillId="34" borderId="1" xfId="30" applyNumberFormat="1" applyFont="1" applyFill="1" applyBorder="1" applyAlignment="1">
      <alignment horizontal="right" vertical="top"/>
    </xf>
    <xf numFmtId="166" fontId="3" fillId="34" borderId="3" xfId="63" applyNumberFormat="1" applyFont="1" applyFill="1" applyBorder="1" applyAlignment="1">
      <alignment horizontal="right" vertical="top" wrapText="1"/>
    </xf>
    <xf numFmtId="166" fontId="3" fillId="34" borderId="5" xfId="63" applyNumberFormat="1" applyFont="1" applyFill="1" applyBorder="1" applyAlignment="1">
      <alignment horizontal="right" vertical="top" wrapText="1"/>
    </xf>
    <xf numFmtId="49" fontId="3" fillId="34" borderId="1" xfId="63" applyNumberFormat="1" applyFont="1" applyFill="1" applyBorder="1" applyAlignment="1">
      <alignment horizontal="left" vertical="top" wrapText="1"/>
    </xf>
    <xf numFmtId="0" fontId="3" fillId="34" borderId="1" xfId="63" quotePrefix="1" applyFont="1" applyFill="1" applyBorder="1" applyAlignment="1">
      <alignment horizontal="right" vertical="top"/>
    </xf>
    <xf numFmtId="0" fontId="3" fillId="34" borderId="1" xfId="63" applyFont="1" applyFill="1" applyBorder="1" applyAlignment="1">
      <alignment vertical="top"/>
    </xf>
    <xf numFmtId="166" fontId="3" fillId="34" borderId="1" xfId="30" applyFont="1" applyFill="1" applyBorder="1" applyAlignment="1">
      <alignment horizontal="right" vertical="top"/>
    </xf>
    <xf numFmtId="0" fontId="3" fillId="34" borderId="1" xfId="63" quotePrefix="1" applyFont="1" applyFill="1" applyBorder="1" applyAlignment="1">
      <alignment horizontal="right" vertical="top" wrapText="1"/>
    </xf>
    <xf numFmtId="166" fontId="3" fillId="34" borderId="1" xfId="63" quotePrefix="1" applyNumberFormat="1" applyFont="1" applyFill="1" applyBorder="1" applyAlignment="1">
      <alignment horizontal="right" vertical="top" wrapText="1"/>
    </xf>
    <xf numFmtId="166" fontId="3" fillId="34" borderId="3" xfId="30" quotePrefix="1" applyNumberFormat="1" applyFont="1" applyFill="1" applyBorder="1" applyAlignment="1">
      <alignment horizontal="right" vertical="top" wrapText="1"/>
    </xf>
    <xf numFmtId="166" fontId="3" fillId="34" borderId="1" xfId="30" quotePrefix="1" applyFont="1" applyFill="1" applyBorder="1" applyAlignment="1">
      <alignment horizontal="right" vertical="top" wrapText="1"/>
    </xf>
    <xf numFmtId="166" fontId="3" fillId="34" borderId="4" xfId="30" applyNumberFormat="1" applyFont="1" applyFill="1" applyBorder="1" applyAlignment="1">
      <alignment horizontal="right" vertical="top" wrapText="1"/>
    </xf>
    <xf numFmtId="166" fontId="3" fillId="34" borderId="4" xfId="30" quotePrefix="1" applyNumberFormat="1" applyFont="1" applyFill="1" applyBorder="1" applyAlignment="1">
      <alignment horizontal="right" vertical="top" wrapText="1"/>
    </xf>
    <xf numFmtId="166" fontId="3" fillId="34" borderId="4" xfId="30" applyFont="1" applyFill="1" applyBorder="1" applyAlignment="1">
      <alignment vertical="top" wrapText="1"/>
    </xf>
    <xf numFmtId="166" fontId="3" fillId="34" borderId="5" xfId="30" applyNumberFormat="1" applyFont="1" applyFill="1" applyBorder="1" applyAlignment="1">
      <alignment horizontal="right" vertical="top" wrapText="1"/>
    </xf>
    <xf numFmtId="166" fontId="3" fillId="34" borderId="5" xfId="30" quotePrefix="1" applyNumberFormat="1" applyFont="1" applyFill="1" applyBorder="1" applyAlignment="1">
      <alignment horizontal="right" vertical="top" wrapText="1"/>
    </xf>
    <xf numFmtId="166" fontId="3" fillId="34" borderId="3" xfId="63" quotePrefix="1" applyNumberFormat="1" applyFont="1" applyFill="1" applyBorder="1" applyAlignment="1">
      <alignment horizontal="right" vertical="top" wrapText="1"/>
    </xf>
    <xf numFmtId="166" fontId="3" fillId="34" borderId="5" xfId="63" quotePrefix="1" applyNumberFormat="1" applyFont="1" applyFill="1" applyBorder="1" applyAlignment="1">
      <alignment horizontal="right" vertical="top" wrapText="1"/>
    </xf>
    <xf numFmtId="0" fontId="3" fillId="34" borderId="15" xfId="0" applyFont="1" applyFill="1" applyBorder="1" applyAlignment="1">
      <alignment horizontal="center" vertical="top" wrapText="1"/>
    </xf>
    <xf numFmtId="0" fontId="3" fillId="34" borderId="15" xfId="0" applyFont="1" applyFill="1" applyBorder="1" applyAlignment="1">
      <alignment horizontal="left" vertical="top" wrapText="1"/>
    </xf>
    <xf numFmtId="166" fontId="3" fillId="34" borderId="1" xfId="0" applyNumberFormat="1" applyFont="1" applyFill="1" applyBorder="1" applyAlignment="1">
      <alignment horizontal="center" vertical="top" wrapText="1"/>
    </xf>
    <xf numFmtId="169" fontId="3" fillId="34" borderId="1" xfId="0" applyNumberFormat="1" applyFont="1" applyFill="1" applyBorder="1" applyAlignment="1">
      <alignment horizontal="center" vertical="top" wrapText="1"/>
    </xf>
    <xf numFmtId="0" fontId="3" fillId="34" borderId="75" xfId="0" applyFont="1" applyFill="1" applyBorder="1" applyAlignment="1">
      <alignment horizontal="center" vertical="top" wrapText="1"/>
    </xf>
    <xf numFmtId="0" fontId="3" fillId="34" borderId="22" xfId="0" applyFont="1" applyFill="1" applyBorder="1" applyAlignment="1">
      <alignment vertical="top" wrapText="1"/>
    </xf>
    <xf numFmtId="166" fontId="3" fillId="34" borderId="1" xfId="29" applyNumberFormat="1" applyFont="1" applyFill="1" applyBorder="1" applyAlignment="1">
      <alignment vertical="top" wrapText="1"/>
    </xf>
    <xf numFmtId="166" fontId="3" fillId="34" borderId="4" xfId="0" applyNumberFormat="1" applyFont="1" applyFill="1" applyBorder="1" applyAlignment="1">
      <alignment vertical="top"/>
    </xf>
    <xf numFmtId="166" fontId="3" fillId="34" borderId="2" xfId="29" applyNumberFormat="1" applyFont="1" applyFill="1" applyBorder="1" applyAlignment="1">
      <alignment vertical="top"/>
    </xf>
    <xf numFmtId="166" fontId="3" fillId="34" borderId="5" xfId="0" applyNumberFormat="1" applyFont="1" applyFill="1" applyBorder="1" applyAlignment="1">
      <alignment vertical="top"/>
    </xf>
    <xf numFmtId="166" fontId="3" fillId="34" borderId="3" xfId="0" applyNumberFormat="1" applyFont="1" applyFill="1" applyBorder="1" applyAlignment="1">
      <alignment vertical="top"/>
    </xf>
    <xf numFmtId="0" fontId="3" fillId="34" borderId="8" xfId="0" applyFont="1" applyFill="1" applyBorder="1" applyAlignment="1">
      <alignment vertical="top" wrapText="1"/>
    </xf>
    <xf numFmtId="0" fontId="3" fillId="34" borderId="27" xfId="0" applyFont="1" applyFill="1" applyBorder="1" applyAlignment="1">
      <alignment vertical="top" wrapText="1"/>
    </xf>
    <xf numFmtId="0" fontId="3" fillId="34" borderId="28" xfId="0" applyFont="1" applyFill="1" applyBorder="1" applyAlignment="1">
      <alignment vertical="top" wrapText="1"/>
    </xf>
    <xf numFmtId="166" fontId="3" fillId="34" borderId="2" xfId="29" applyFont="1" applyFill="1" applyBorder="1" applyAlignment="1">
      <alignment vertical="top" wrapText="1"/>
    </xf>
    <xf numFmtId="166" fontId="3" fillId="34" borderId="2" xfId="29" applyFont="1" applyFill="1" applyBorder="1" applyAlignment="1">
      <alignment horizontal="center" vertical="top" wrapText="1"/>
    </xf>
    <xf numFmtId="167" fontId="3" fillId="34" borderId="1" xfId="0" applyNumberFormat="1" applyFont="1" applyFill="1" applyBorder="1" applyAlignment="1">
      <alignment horizontal="left" vertical="top" wrapText="1"/>
    </xf>
    <xf numFmtId="166" fontId="3" fillId="34" borderId="0" xfId="29" applyFont="1" applyFill="1" applyAlignment="1">
      <alignment horizontal="right" vertical="top"/>
    </xf>
    <xf numFmtId="166" fontId="3" fillId="34" borderId="3" xfId="29" applyFont="1" applyFill="1" applyBorder="1" applyAlignment="1">
      <alignment horizontal="center" vertical="top" wrapText="1"/>
    </xf>
    <xf numFmtId="172" fontId="3" fillId="34" borderId="1" xfId="29" applyNumberFormat="1" applyFont="1" applyFill="1" applyBorder="1" applyAlignment="1">
      <alignment vertical="top"/>
    </xf>
    <xf numFmtId="166" fontId="3" fillId="34" borderId="5" xfId="29" applyFont="1" applyFill="1" applyBorder="1" applyAlignment="1">
      <alignment horizontal="center" vertical="top" wrapText="1"/>
    </xf>
    <xf numFmtId="172" fontId="3" fillId="34" borderId="1" xfId="29" applyNumberFormat="1" applyFont="1" applyFill="1" applyBorder="1" applyAlignment="1">
      <alignment vertical="top" wrapText="1"/>
    </xf>
    <xf numFmtId="172" fontId="3" fillId="34" borderId="1" xfId="0" applyNumberFormat="1" applyFont="1" applyFill="1" applyBorder="1" applyAlignment="1">
      <alignment vertical="top"/>
    </xf>
    <xf numFmtId="0" fontId="3" fillId="34" borderId="22" xfId="0" applyFont="1" applyFill="1" applyBorder="1" applyAlignment="1">
      <alignment horizontal="center" vertical="top"/>
    </xf>
    <xf numFmtId="2" fontId="3" fillId="34" borderId="1" xfId="81" applyNumberFormat="1" applyFont="1" applyFill="1" applyBorder="1" applyAlignment="1">
      <alignment horizontal="center" vertical="top" wrapText="1"/>
    </xf>
    <xf numFmtId="0" fontId="3" fillId="0" borderId="4" xfId="0" applyFont="1" applyBorder="1" applyAlignment="1"/>
    <xf numFmtId="0" fontId="3" fillId="0" borderId="5" xfId="0" applyFont="1" applyBorder="1" applyAlignment="1"/>
    <xf numFmtId="0" fontId="3" fillId="0" borderId="1" xfId="0" applyFont="1" applyBorder="1" applyAlignment="1">
      <alignment vertical="top" wrapText="1"/>
    </xf>
    <xf numFmtId="0" fontId="3" fillId="34" borderId="1" xfId="0" applyFont="1" applyFill="1" applyBorder="1" applyAlignment="1">
      <alignment horizontal="center" vertical="top" wrapText="1"/>
    </xf>
    <xf numFmtId="0" fontId="3" fillId="34" borderId="54" xfId="0" applyFont="1" applyFill="1" applyBorder="1" applyAlignment="1">
      <alignment horizontal="center" vertical="top" wrapText="1"/>
    </xf>
    <xf numFmtId="166" fontId="3" fillId="34" borderId="1" xfId="29" applyFont="1" applyFill="1" applyBorder="1" applyAlignment="1">
      <alignment horizontal="center" vertical="top" wrapText="1"/>
    </xf>
    <xf numFmtId="0" fontId="3" fillId="34" borderId="1" xfId="0" applyFont="1" applyFill="1" applyBorder="1" applyAlignment="1">
      <alignment horizontal="left" vertical="top" wrapText="1"/>
    </xf>
    <xf numFmtId="0" fontId="3" fillId="34" borderId="3" xfId="0" applyFont="1" applyFill="1" applyBorder="1" applyAlignment="1">
      <alignment horizontal="left" vertical="top" wrapText="1"/>
    </xf>
    <xf numFmtId="0" fontId="3" fillId="34" borderId="4" xfId="0" applyFont="1" applyFill="1" applyBorder="1" applyAlignment="1">
      <alignment horizontal="left" vertical="top" wrapText="1"/>
    </xf>
    <xf numFmtId="0" fontId="3" fillId="34" borderId="5" xfId="0" applyFont="1" applyFill="1" applyBorder="1" applyAlignment="1">
      <alignment horizontal="left" vertical="top" wrapText="1"/>
    </xf>
    <xf numFmtId="166" fontId="3" fillId="34" borderId="1" xfId="29" applyFont="1" applyFill="1" applyBorder="1" applyAlignment="1">
      <alignment horizontal="right" vertical="top" wrapText="1"/>
    </xf>
    <xf numFmtId="0" fontId="3" fillId="34" borderId="9" xfId="0" applyFont="1" applyFill="1" applyBorder="1" applyAlignment="1">
      <alignment horizontal="left" vertical="top" wrapText="1"/>
    </xf>
    <xf numFmtId="0" fontId="3" fillId="34" borderId="9" xfId="68" applyFont="1" applyFill="1" applyBorder="1" applyAlignment="1">
      <alignment horizontal="left" vertical="top" wrapText="1"/>
    </xf>
    <xf numFmtId="0" fontId="3" fillId="34" borderId="6" xfId="0" applyFont="1" applyFill="1" applyBorder="1" applyAlignment="1">
      <alignment horizontal="center" vertical="top" wrapText="1"/>
    </xf>
    <xf numFmtId="0" fontId="3" fillId="34" borderId="9" xfId="72" applyFont="1" applyFill="1" applyBorder="1" applyAlignment="1">
      <alignment horizontal="left" vertical="top" wrapText="1"/>
    </xf>
    <xf numFmtId="0" fontId="3" fillId="34" borderId="26" xfId="63" applyFont="1" applyFill="1" applyBorder="1" applyAlignment="1">
      <alignment horizontal="left" vertical="top" wrapText="1"/>
    </xf>
    <xf numFmtId="0" fontId="3" fillId="34" borderId="1" xfId="63" applyFont="1" applyFill="1" applyBorder="1" applyAlignment="1">
      <alignment horizontal="right" vertical="top" wrapText="1"/>
    </xf>
    <xf numFmtId="0" fontId="3" fillId="34" borderId="1" xfId="0" applyFont="1" applyFill="1" applyBorder="1" applyAlignment="1">
      <alignment horizontal="left" vertical="top" wrapText="1"/>
    </xf>
    <xf numFmtId="0" fontId="3" fillId="34" borderId="3" xfId="0" applyFont="1" applyFill="1" applyBorder="1" applyAlignment="1">
      <alignment horizontal="left" vertical="top" wrapText="1"/>
    </xf>
    <xf numFmtId="0" fontId="3" fillId="34" borderId="4" xfId="0" applyFont="1" applyFill="1" applyBorder="1" applyAlignment="1">
      <alignment horizontal="left" vertical="top" wrapText="1"/>
    </xf>
    <xf numFmtId="166" fontId="3" fillId="34" borderId="1" xfId="29" applyFont="1" applyFill="1" applyBorder="1" applyAlignment="1">
      <alignment horizontal="right" vertical="top" wrapText="1"/>
    </xf>
    <xf numFmtId="0" fontId="3" fillId="34" borderId="1" xfId="0" applyFont="1" applyFill="1" applyBorder="1" applyAlignment="1">
      <alignment horizontal="center" vertical="top" wrapText="1"/>
    </xf>
    <xf numFmtId="2" fontId="3" fillId="34" borderId="1" xfId="0" applyNumberFormat="1" applyFont="1" applyFill="1" applyBorder="1" applyAlignment="1">
      <alignment horizontal="center" vertical="top" wrapText="1"/>
    </xf>
    <xf numFmtId="0" fontId="3" fillId="34" borderId="4" xfId="71" applyNumberFormat="1" applyFont="1" applyFill="1" applyBorder="1" applyAlignment="1">
      <alignment vertical="top" wrapText="1"/>
    </xf>
    <xf numFmtId="2" fontId="3" fillId="34" borderId="1" xfId="71" applyNumberFormat="1" applyFont="1" applyFill="1" applyBorder="1" applyAlignment="1">
      <alignment horizontal="right" vertical="top" wrapText="1"/>
    </xf>
    <xf numFmtId="1" fontId="3" fillId="34" borderId="1" xfId="63" applyNumberFormat="1" applyFont="1" applyFill="1" applyBorder="1" applyAlignment="1">
      <alignment horizontal="right" vertical="top"/>
    </xf>
    <xf numFmtId="170" fontId="3" fillId="34" borderId="71" xfId="46" applyNumberFormat="1" applyFont="1" applyFill="1" applyBorder="1" applyAlignment="1">
      <alignment horizontal="right" vertical="top"/>
    </xf>
    <xf numFmtId="172" fontId="3" fillId="34" borderId="1" xfId="40" applyNumberFormat="1" applyFont="1" applyFill="1" applyBorder="1" applyAlignment="1">
      <alignment horizontal="right" vertical="top"/>
    </xf>
    <xf numFmtId="170" fontId="3" fillId="34" borderId="18" xfId="46" applyNumberFormat="1" applyFont="1" applyFill="1" applyBorder="1" applyAlignment="1">
      <alignment horizontal="right" vertical="top"/>
    </xf>
    <xf numFmtId="0" fontId="3" fillId="34" borderId="9" xfId="73" applyFont="1" applyFill="1" applyBorder="1" applyAlignment="1">
      <alignment vertical="top" wrapText="1"/>
    </xf>
    <xf numFmtId="3" fontId="3" fillId="35" borderId="1" xfId="0" applyNumberFormat="1" applyFont="1" applyFill="1" applyBorder="1" applyAlignment="1">
      <alignment horizontal="right" vertical="top" wrapText="1"/>
    </xf>
    <xf numFmtId="166" fontId="3" fillId="34" borderId="5" xfId="29" applyNumberFormat="1" applyFont="1" applyFill="1" applyBorder="1" applyAlignment="1">
      <alignment vertical="top"/>
    </xf>
    <xf numFmtId="166" fontId="3" fillId="34" borderId="5" xfId="0" applyNumberFormat="1" applyFont="1" applyFill="1" applyBorder="1" applyAlignment="1">
      <alignment vertical="top" wrapText="1"/>
    </xf>
    <xf numFmtId="0" fontId="2" fillId="34" borderId="4" xfId="0" applyFont="1" applyFill="1" applyBorder="1" applyAlignment="1">
      <alignment horizontal="left" vertical="top" wrapText="1"/>
    </xf>
    <xf numFmtId="0" fontId="3" fillId="34" borderId="1" xfId="73" applyFont="1" applyFill="1" applyBorder="1" applyAlignment="1">
      <alignment horizontal="left" vertical="top" wrapText="1"/>
    </xf>
    <xf numFmtId="0" fontId="2" fillId="34" borderId="9" xfId="0" applyFont="1" applyFill="1" applyBorder="1" applyAlignment="1">
      <alignment vertical="top" wrapText="1"/>
    </xf>
    <xf numFmtId="166" fontId="2" fillId="34" borderId="13" xfId="29" applyFont="1" applyFill="1" applyBorder="1" applyAlignment="1">
      <alignment horizontal="center" vertical="top" wrapText="1"/>
    </xf>
    <xf numFmtId="4" fontId="3" fillId="34" borderId="3" xfId="29" applyNumberFormat="1" applyFont="1" applyFill="1" applyBorder="1" applyAlignment="1">
      <alignment horizontal="right" vertical="top" wrapText="1"/>
    </xf>
    <xf numFmtId="2" fontId="3" fillId="34" borderId="5" xfId="29" applyNumberFormat="1" applyFont="1" applyFill="1" applyBorder="1" applyAlignment="1">
      <alignment horizontal="right" vertical="top" wrapText="1"/>
    </xf>
    <xf numFmtId="4" fontId="3" fillId="34" borderId="5" xfId="29" applyNumberFormat="1" applyFont="1" applyFill="1" applyBorder="1" applyAlignment="1">
      <alignment horizontal="right" vertical="top" wrapText="1"/>
    </xf>
    <xf numFmtId="0" fontId="2" fillId="34" borderId="5" xfId="0" applyFont="1" applyFill="1" applyBorder="1" applyAlignment="1">
      <alignment horizontal="center" vertical="top" wrapText="1"/>
    </xf>
    <xf numFmtId="0" fontId="2" fillId="34" borderId="3" xfId="0" applyFont="1" applyFill="1" applyBorder="1" applyAlignment="1">
      <alignment horizontal="center" vertical="top" wrapText="1"/>
    </xf>
    <xf numFmtId="172" fontId="2" fillId="34" borderId="1" xfId="0" applyNumberFormat="1" applyFont="1" applyFill="1" applyBorder="1" applyAlignment="1">
      <alignment horizontal="right" vertical="top"/>
    </xf>
    <xf numFmtId="166" fontId="3" fillId="34" borderId="5" xfId="29" applyFont="1" applyFill="1" applyBorder="1" applyAlignment="1">
      <alignment horizontal="left" vertical="top" wrapText="1"/>
    </xf>
    <xf numFmtId="2" fontId="2" fillId="34" borderId="1" xfId="78" applyNumberFormat="1" applyFont="1" applyFill="1" applyBorder="1" applyAlignment="1">
      <alignment horizontal="center" vertical="top" wrapText="1"/>
    </xf>
    <xf numFmtId="166" fontId="2" fillId="34" borderId="4" xfId="29" applyFont="1" applyFill="1" applyBorder="1" applyAlignment="1">
      <alignment horizontal="right" vertical="top" wrapText="1"/>
    </xf>
    <xf numFmtId="0" fontId="2" fillId="0" borderId="53" xfId="65" applyFont="1" applyFill="1" applyBorder="1" applyAlignment="1">
      <alignment vertical="top" wrapText="1"/>
    </xf>
    <xf numFmtId="0" fontId="2" fillId="34" borderId="1" xfId="0" applyFont="1" applyFill="1" applyBorder="1" applyAlignment="1">
      <alignment horizontal="right"/>
    </xf>
    <xf numFmtId="2" fontId="3" fillId="34" borderId="1" xfId="73" applyNumberFormat="1" applyFont="1" applyFill="1" applyBorder="1" applyAlignment="1">
      <alignment horizontal="right" vertical="top" wrapText="1"/>
    </xf>
    <xf numFmtId="0" fontId="3" fillId="34" borderId="1" xfId="0" applyFont="1" applyFill="1" applyBorder="1" applyAlignment="1">
      <alignment horizontal="right"/>
    </xf>
    <xf numFmtId="2" fontId="3" fillId="34" borderId="1" xfId="0" applyNumberFormat="1" applyFont="1" applyFill="1" applyBorder="1" applyAlignment="1">
      <alignment horizontal="right" vertical="top"/>
    </xf>
    <xf numFmtId="2" fontId="3" fillId="34" borderId="1" xfId="0" applyNumberFormat="1" applyFont="1" applyFill="1" applyBorder="1" applyAlignment="1">
      <alignment vertical="top"/>
    </xf>
    <xf numFmtId="0" fontId="2" fillId="0" borderId="9" xfId="65" applyFont="1" applyFill="1" applyBorder="1" applyAlignment="1">
      <alignment vertical="top" wrapText="1"/>
    </xf>
    <xf numFmtId="2" fontId="2" fillId="34" borderId="5" xfId="0" applyNumberFormat="1" applyFont="1" applyFill="1" applyBorder="1" applyAlignment="1">
      <alignment vertical="top"/>
    </xf>
    <xf numFmtId="3" fontId="2" fillId="34" borderId="5" xfId="0" applyNumberFormat="1" applyFont="1" applyFill="1" applyBorder="1" applyAlignment="1">
      <alignment horizontal="right" vertical="top" wrapText="1"/>
    </xf>
    <xf numFmtId="166" fontId="3" fillId="34" borderId="11" xfId="29" applyFont="1" applyFill="1" applyBorder="1" applyAlignment="1">
      <alignment horizontal="center" vertical="top" wrapText="1"/>
    </xf>
    <xf numFmtId="0" fontId="2" fillId="34" borderId="1" xfId="0" applyFont="1" applyFill="1" applyBorder="1" applyAlignment="1">
      <alignment horizontal="right" vertical="top" wrapText="1"/>
    </xf>
    <xf numFmtId="167" fontId="2" fillId="34" borderId="1" xfId="42" applyFont="1" applyFill="1" applyBorder="1" applyAlignment="1">
      <alignment vertical="top" wrapText="1"/>
    </xf>
    <xf numFmtId="0" fontId="2" fillId="34" borderId="3" xfId="70" applyFont="1" applyFill="1" applyBorder="1" applyAlignment="1">
      <alignment horizontal="left" vertical="top" wrapText="1"/>
    </xf>
    <xf numFmtId="0" fontId="2" fillId="34" borderId="4" xfId="70" applyFont="1" applyFill="1" applyBorder="1" applyAlignment="1">
      <alignment horizontal="left" vertical="top" wrapText="1"/>
    </xf>
    <xf numFmtId="0" fontId="52" fillId="34" borderId="0" xfId="0" applyFont="1" applyFill="1"/>
    <xf numFmtId="0" fontId="2" fillId="34" borderId="3" xfId="70" applyFont="1" applyFill="1" applyBorder="1" applyAlignment="1">
      <alignment horizontal="left" vertical="top" wrapText="1"/>
    </xf>
    <xf numFmtId="0" fontId="2" fillId="34" borderId="4" xfId="70" applyFont="1" applyFill="1" applyBorder="1" applyAlignment="1">
      <alignment horizontal="left" vertical="top" wrapText="1"/>
    </xf>
    <xf numFmtId="0" fontId="3" fillId="34" borderId="3" xfId="0" applyFont="1" applyFill="1" applyBorder="1" applyAlignment="1">
      <alignment horizontal="left" vertical="top" wrapText="1"/>
    </xf>
    <xf numFmtId="0" fontId="3" fillId="34" borderId="1" xfId="0" applyFont="1" applyFill="1" applyBorder="1" applyAlignment="1">
      <alignment horizontal="left" vertical="top" wrapText="1"/>
    </xf>
    <xf numFmtId="0" fontId="3" fillId="34" borderId="1" xfId="0" applyFont="1" applyFill="1" applyBorder="1" applyAlignment="1">
      <alignment horizontal="center" vertical="top" wrapText="1"/>
    </xf>
    <xf numFmtId="0" fontId="6" fillId="34" borderId="5" xfId="68" applyFont="1" applyFill="1" applyBorder="1" applyAlignment="1">
      <alignment vertical="top" wrapText="1"/>
    </xf>
    <xf numFmtId="0" fontId="9" fillId="34" borderId="3" xfId="68" applyFont="1" applyFill="1" applyBorder="1" applyAlignment="1">
      <alignment vertical="top" wrapText="1"/>
    </xf>
    <xf numFmtId="0" fontId="42" fillId="34" borderId="1" xfId="0" applyFont="1" applyFill="1" applyBorder="1" applyAlignment="1">
      <alignment horizontal="center" vertical="top" wrapText="1"/>
    </xf>
    <xf numFmtId="49" fontId="2" fillId="34" borderId="1" xfId="69" applyNumberFormat="1" applyFont="1" applyFill="1" applyBorder="1" applyAlignment="1">
      <alignment vertical="top" wrapText="1"/>
    </xf>
    <xf numFmtId="166" fontId="2" fillId="34" borderId="2" xfId="68" applyNumberFormat="1" applyFont="1" applyFill="1" applyBorder="1" applyAlignment="1">
      <alignment vertical="top" wrapText="1"/>
    </xf>
    <xf numFmtId="0" fontId="9" fillId="34" borderId="4" xfId="65" applyFont="1" applyFill="1" applyBorder="1" applyAlignment="1">
      <alignment vertical="top" wrapText="1"/>
    </xf>
    <xf numFmtId="0" fontId="3" fillId="0" borderId="3" xfId="0" applyFont="1" applyFill="1" applyBorder="1" applyAlignment="1">
      <alignment horizontal="center" vertical="top" wrapText="1"/>
    </xf>
    <xf numFmtId="167" fontId="2" fillId="34" borderId="4" xfId="42" applyFont="1" applyFill="1" applyBorder="1" applyAlignment="1">
      <alignment vertical="top" wrapText="1"/>
    </xf>
    <xf numFmtId="0" fontId="3" fillId="0" borderId="3" xfId="0" applyFont="1" applyFill="1" applyBorder="1" applyAlignment="1">
      <alignment horizontal="right" vertical="top"/>
    </xf>
    <xf numFmtId="166" fontId="3" fillId="0" borderId="3" xfId="29" applyFont="1" applyFill="1" applyBorder="1" applyAlignment="1">
      <alignment vertical="top"/>
    </xf>
    <xf numFmtId="166" fontId="3" fillId="0" borderId="3" xfId="29" applyFont="1" applyFill="1" applyBorder="1" applyAlignment="1">
      <alignment horizontal="right" vertical="top" wrapText="1"/>
    </xf>
    <xf numFmtId="0" fontId="2" fillId="0" borderId="5" xfId="0" applyFont="1" applyFill="1" applyBorder="1" applyAlignment="1">
      <alignment vertical="top" wrapText="1"/>
    </xf>
    <xf numFmtId="0" fontId="2" fillId="0" borderId="5" xfId="0" applyFont="1" applyFill="1" applyBorder="1" applyAlignment="1">
      <alignment horizontal="center" vertical="top"/>
    </xf>
    <xf numFmtId="0" fontId="2" fillId="0" borderId="5" xfId="0" applyFont="1" applyFill="1" applyBorder="1" applyAlignment="1">
      <alignment horizontal="right" vertical="top"/>
    </xf>
    <xf numFmtId="166" fontId="2" fillId="0" borderId="5" xfId="0" applyNumberFormat="1" applyFont="1" applyFill="1" applyBorder="1" applyAlignment="1">
      <alignment horizontal="right" vertical="top"/>
    </xf>
    <xf numFmtId="166" fontId="2" fillId="0" borderId="5" xfId="29" applyFont="1" applyFill="1" applyBorder="1" applyAlignment="1">
      <alignment horizontal="right" vertical="top"/>
    </xf>
    <xf numFmtId="0" fontId="3" fillId="0" borderId="1" xfId="0" applyFont="1" applyFill="1" applyBorder="1" applyAlignment="1">
      <alignment horizontal="center"/>
    </xf>
    <xf numFmtId="167" fontId="2" fillId="34" borderId="1" xfId="42" applyNumberFormat="1" applyFont="1" applyFill="1" applyBorder="1" applyAlignment="1">
      <alignment vertical="top" wrapText="1"/>
    </xf>
    <xf numFmtId="0" fontId="2" fillId="0" borderId="3" xfId="70" applyFont="1" applyFill="1" applyBorder="1" applyAlignment="1">
      <alignment vertical="top" wrapText="1"/>
    </xf>
    <xf numFmtId="0" fontId="2" fillId="0" borderId="4" xfId="70" applyFont="1" applyFill="1" applyBorder="1" applyAlignment="1">
      <alignment vertical="top" wrapText="1"/>
    </xf>
    <xf numFmtId="0" fontId="3" fillId="0" borderId="4" xfId="68" applyFont="1" applyFill="1" applyBorder="1" applyAlignment="1"/>
    <xf numFmtId="0" fontId="3" fillId="0" borderId="5" xfId="68" applyFont="1" applyFill="1" applyBorder="1" applyAlignment="1"/>
    <xf numFmtId="0" fontId="3" fillId="0" borderId="39" xfId="71" applyFont="1" applyFill="1" applyBorder="1" applyAlignment="1">
      <alignment horizontal="left" vertical="top" wrapText="1"/>
    </xf>
    <xf numFmtId="0" fontId="3" fillId="0" borderId="40" xfId="71" applyFont="1" applyFill="1" applyBorder="1" applyAlignment="1">
      <alignment vertical="top" wrapText="1"/>
    </xf>
    <xf numFmtId="0" fontId="3" fillId="0" borderId="42" xfId="71" applyFont="1" applyFill="1" applyBorder="1" applyAlignment="1">
      <alignment vertical="top" wrapText="1"/>
    </xf>
    <xf numFmtId="175" fontId="2" fillId="0" borderId="18" xfId="39" applyNumberFormat="1" applyFont="1" applyFill="1" applyBorder="1" applyAlignment="1">
      <alignment horizontal="right" vertical="top" wrapText="1"/>
    </xf>
    <xf numFmtId="176" fontId="2" fillId="0" borderId="76" xfId="47" applyNumberFormat="1" applyFont="1" applyFill="1" applyBorder="1" applyAlignment="1">
      <alignment horizontal="right" vertical="top"/>
    </xf>
    <xf numFmtId="167" fontId="2" fillId="34" borderId="18" xfId="42" applyNumberFormat="1" applyFont="1" applyFill="1" applyBorder="1" applyAlignment="1">
      <alignment vertical="top" wrapText="1"/>
    </xf>
    <xf numFmtId="0" fontId="2" fillId="0" borderId="36" xfId="71" applyFont="1" applyFill="1" applyBorder="1" applyAlignment="1">
      <alignment horizontal="left" vertical="top" wrapText="1"/>
    </xf>
    <xf numFmtId="0" fontId="2" fillId="0" borderId="36" xfId="71" applyFont="1" applyFill="1" applyBorder="1" applyAlignment="1">
      <alignment horizontal="center" vertical="top" wrapText="1"/>
    </xf>
    <xf numFmtId="170" fontId="2" fillId="0" borderId="1" xfId="47" applyNumberFormat="1" applyFont="1" applyFill="1" applyBorder="1" applyAlignment="1">
      <alignment horizontal="center" vertical="top"/>
    </xf>
    <xf numFmtId="0" fontId="2" fillId="0" borderId="1" xfId="0" applyFont="1" applyFill="1" applyBorder="1"/>
    <xf numFmtId="170" fontId="3" fillId="0" borderId="43" xfId="51" applyNumberFormat="1" applyFont="1" applyFill="1" applyBorder="1" applyAlignment="1">
      <alignment vertical="top" wrapText="1"/>
    </xf>
    <xf numFmtId="170" fontId="2" fillId="35" borderId="32" xfId="47" applyNumberFormat="1" applyFont="1" applyFill="1" applyBorder="1" applyAlignment="1">
      <alignment horizontal="right" vertical="top"/>
    </xf>
    <xf numFmtId="170" fontId="2" fillId="34" borderId="5" xfId="42" applyNumberFormat="1" applyFont="1" applyFill="1" applyBorder="1" applyAlignment="1">
      <alignment vertical="top" wrapText="1"/>
    </xf>
    <xf numFmtId="170" fontId="2" fillId="34" borderId="1" xfId="42" applyNumberFormat="1" applyFont="1" applyFill="1" applyBorder="1" applyAlignment="1">
      <alignment vertical="top" wrapText="1"/>
    </xf>
    <xf numFmtId="0" fontId="3" fillId="0" borderId="3" xfId="72" applyFont="1" applyFill="1" applyBorder="1" applyAlignment="1">
      <alignment horizontal="center" vertical="top" wrapText="1"/>
    </xf>
    <xf numFmtId="166" fontId="3" fillId="0" borderId="7" xfId="40" applyFont="1" applyFill="1" applyBorder="1" applyAlignment="1">
      <alignment horizontal="right" vertical="top"/>
    </xf>
    <xf numFmtId="0" fontId="3" fillId="0" borderId="3" xfId="72" quotePrefix="1" applyFont="1" applyFill="1" applyBorder="1" applyAlignment="1">
      <alignment horizontal="left" vertical="top" wrapText="1"/>
    </xf>
    <xf numFmtId="167" fontId="3" fillId="0" borderId="3" xfId="48" applyFont="1" applyFill="1" applyBorder="1" applyAlignment="1">
      <alignment horizontal="right" vertical="top"/>
    </xf>
    <xf numFmtId="167" fontId="3" fillId="0" borderId="3" xfId="48" applyFont="1" applyFill="1" applyBorder="1" applyAlignment="1">
      <alignment horizontal="center" vertical="top"/>
    </xf>
    <xf numFmtId="0" fontId="2" fillId="0" borderId="5" xfId="72" applyFont="1" applyFill="1" applyBorder="1" applyAlignment="1">
      <alignment horizontal="left" vertical="top" wrapText="1"/>
    </xf>
    <xf numFmtId="0" fontId="2" fillId="0" borderId="4" xfId="72" applyFont="1" applyFill="1" applyBorder="1" applyAlignment="1">
      <alignment horizontal="center" vertical="top"/>
    </xf>
    <xf numFmtId="2" fontId="2" fillId="0" borderId="5" xfId="72" applyNumberFormat="1" applyFont="1" applyFill="1" applyBorder="1" applyAlignment="1">
      <alignment horizontal="right" vertical="top"/>
    </xf>
    <xf numFmtId="2" fontId="2" fillId="0" borderId="5" xfId="72" applyNumberFormat="1" applyFont="1" applyFill="1" applyBorder="1" applyAlignment="1">
      <alignment vertical="top"/>
    </xf>
    <xf numFmtId="170" fontId="2" fillId="0" borderId="4" xfId="72" applyNumberFormat="1" applyFont="1" applyFill="1" applyBorder="1" applyAlignment="1">
      <alignment vertical="top"/>
    </xf>
    <xf numFmtId="0" fontId="3" fillId="0" borderId="9" xfId="72" applyFont="1" applyFill="1" applyBorder="1" applyAlignment="1">
      <alignment vertical="top" wrapText="1"/>
    </xf>
    <xf numFmtId="0" fontId="3" fillId="0" borderId="5" xfId="73" applyFont="1" applyFill="1" applyBorder="1" applyAlignment="1">
      <alignment vertical="top" wrapText="1"/>
    </xf>
    <xf numFmtId="0" fontId="2" fillId="34" borderId="4" xfId="0" applyFont="1" applyFill="1" applyBorder="1" applyAlignment="1">
      <alignment horizontal="center" vertical="top" wrapText="1"/>
    </xf>
    <xf numFmtId="0" fontId="3" fillId="0" borderId="53" xfId="73" applyFont="1" applyFill="1" applyBorder="1" applyAlignment="1">
      <alignment vertical="top" wrapText="1"/>
    </xf>
    <xf numFmtId="0" fontId="3" fillId="0" borderId="9" xfId="73" applyFont="1" applyFill="1" applyBorder="1" applyAlignment="1">
      <alignment vertical="top" wrapText="1"/>
    </xf>
    <xf numFmtId="0" fontId="3" fillId="0" borderId="23" xfId="73" applyFont="1" applyFill="1" applyBorder="1" applyAlignment="1">
      <alignment vertical="top" wrapText="1"/>
    </xf>
    <xf numFmtId="170" fontId="3" fillId="34" borderId="1" xfId="41" applyNumberFormat="1" applyFont="1" applyFill="1" applyBorder="1" applyAlignment="1">
      <alignment horizontal="right" vertical="top" wrapText="1"/>
    </xf>
    <xf numFmtId="0" fontId="2" fillId="0" borderId="0" xfId="0" applyFont="1" applyFill="1" applyAlignment="1">
      <alignment horizontal="center" vertical="top"/>
    </xf>
    <xf numFmtId="170" fontId="2" fillId="0" borderId="52" xfId="0" applyNumberFormat="1" applyFont="1" applyFill="1" applyBorder="1" applyAlignment="1">
      <alignment vertical="top"/>
    </xf>
    <xf numFmtId="170" fontId="2" fillId="0" borderId="1" xfId="0" applyNumberFormat="1" applyFont="1" applyFill="1" applyBorder="1" applyAlignment="1">
      <alignment vertical="top"/>
    </xf>
    <xf numFmtId="0" fontId="3" fillId="0" borderId="3" xfId="69" quotePrefix="1" applyFont="1" applyFill="1" applyBorder="1" applyAlignment="1">
      <alignment horizontal="right" vertical="top" wrapText="1"/>
    </xf>
    <xf numFmtId="0" fontId="2" fillId="0" borderId="4" xfId="71" applyFont="1" applyFill="1" applyBorder="1" applyAlignment="1">
      <alignment vertical="top" wrapText="1"/>
    </xf>
    <xf numFmtId="167" fontId="3" fillId="0" borderId="3" xfId="48" applyFont="1" applyFill="1" applyBorder="1" applyAlignment="1">
      <alignment vertical="center"/>
    </xf>
    <xf numFmtId="166" fontId="3" fillId="0" borderId="16" xfId="40" applyFont="1" applyFill="1" applyBorder="1" applyAlignment="1">
      <alignment horizontal="right" vertical="center"/>
    </xf>
    <xf numFmtId="0" fontId="3" fillId="0" borderId="13" xfId="72" applyFont="1" applyFill="1" applyBorder="1" applyAlignment="1">
      <alignment vertical="top"/>
    </xf>
    <xf numFmtId="166" fontId="2" fillId="0" borderId="1" xfId="72" applyNumberFormat="1" applyFont="1" applyFill="1" applyBorder="1" applyAlignment="1">
      <alignment vertical="top"/>
    </xf>
    <xf numFmtId="0" fontId="2" fillId="34" borderId="3" xfId="74" applyFont="1" applyFill="1" applyBorder="1" applyAlignment="1">
      <alignment vertical="top" wrapText="1"/>
    </xf>
    <xf numFmtId="0" fontId="2" fillId="34" borderId="1" xfId="74" applyFont="1" applyFill="1" applyBorder="1" applyAlignment="1">
      <alignment vertical="top" wrapText="1"/>
    </xf>
    <xf numFmtId="0" fontId="2" fillId="34" borderId="1" xfId="74" applyFont="1" applyFill="1" applyBorder="1" applyAlignment="1">
      <alignment horizontal="center" vertical="top" wrapText="1"/>
    </xf>
    <xf numFmtId="166" fontId="2" fillId="34" borderId="1" xfId="74" applyNumberFormat="1" applyFont="1" applyFill="1" applyBorder="1" applyAlignment="1">
      <alignment horizontal="right" vertical="top"/>
    </xf>
    <xf numFmtId="166" fontId="2" fillId="34" borderId="1" xfId="74" applyNumberFormat="1" applyFont="1" applyFill="1" applyBorder="1" applyAlignment="1">
      <alignment horizontal="center" vertical="top"/>
    </xf>
    <xf numFmtId="166" fontId="2" fillId="34" borderId="1" xfId="50" applyNumberFormat="1" applyFont="1" applyFill="1" applyBorder="1" applyAlignment="1">
      <alignment vertical="top" wrapText="1"/>
    </xf>
    <xf numFmtId="166" fontId="2" fillId="34" borderId="1" xfId="30" applyFont="1" applyFill="1" applyBorder="1" applyAlignment="1">
      <alignment horizontal="center" vertical="top" wrapText="1"/>
    </xf>
    <xf numFmtId="166" fontId="2" fillId="34" borderId="7" xfId="30" applyFont="1" applyFill="1" applyBorder="1" applyAlignment="1">
      <alignment horizontal="center" vertical="top" wrapText="1"/>
    </xf>
    <xf numFmtId="166" fontId="2" fillId="34" borderId="6" xfId="30" applyFont="1" applyFill="1" applyBorder="1" applyAlignment="1">
      <alignment horizontal="center" vertical="top" wrapText="1"/>
    </xf>
    <xf numFmtId="0" fontId="3" fillId="34" borderId="9" xfId="74" applyFont="1" applyFill="1" applyBorder="1" applyAlignment="1">
      <alignment vertical="top" wrapText="1"/>
    </xf>
    <xf numFmtId="166" fontId="3" fillId="34" borderId="6" xfId="30" applyFont="1" applyFill="1" applyBorder="1" applyAlignment="1">
      <alignment horizontal="center" vertical="top" wrapText="1"/>
    </xf>
    <xf numFmtId="0" fontId="2" fillId="34" borderId="4" xfId="74" applyFont="1" applyFill="1" applyBorder="1" applyAlignment="1"/>
    <xf numFmtId="166" fontId="52" fillId="34" borderId="1" xfId="29" applyFont="1" applyFill="1" applyBorder="1" applyAlignment="1">
      <alignment horizontal="right" vertical="top" wrapText="1"/>
    </xf>
    <xf numFmtId="166" fontId="52" fillId="34" borderId="1" xfId="30" applyFont="1" applyFill="1" applyBorder="1" applyAlignment="1">
      <alignment vertical="top" wrapText="1"/>
    </xf>
    <xf numFmtId="166" fontId="52" fillId="34" borderId="1" xfId="30" applyFont="1" applyFill="1" applyBorder="1" applyAlignment="1">
      <alignment horizontal="center" vertical="top" wrapText="1"/>
    </xf>
    <xf numFmtId="166" fontId="52" fillId="35" borderId="1" xfId="29" applyFont="1" applyFill="1" applyBorder="1" applyAlignment="1">
      <alignment horizontal="right" vertical="top" wrapText="1"/>
    </xf>
    <xf numFmtId="166" fontId="52" fillId="35" borderId="1" xfId="30" applyFont="1" applyFill="1" applyBorder="1" applyAlignment="1">
      <alignment vertical="top" wrapText="1"/>
    </xf>
    <xf numFmtId="0" fontId="47" fillId="0" borderId="3" xfId="74" applyFont="1" applyFill="1" applyBorder="1" applyAlignment="1">
      <alignment vertical="top" wrapText="1"/>
    </xf>
    <xf numFmtId="0" fontId="3" fillId="0" borderId="26" xfId="74" applyFont="1" applyFill="1" applyBorder="1" applyAlignment="1">
      <alignment vertical="top" wrapText="1"/>
    </xf>
    <xf numFmtId="0" fontId="3" fillId="34" borderId="1" xfId="74" applyFont="1" applyFill="1" applyBorder="1" applyAlignment="1"/>
    <xf numFmtId="0" fontId="2" fillId="0" borderId="3" xfId="64" applyFont="1" applyFill="1" applyBorder="1" applyAlignment="1">
      <alignment vertical="top" wrapText="1"/>
    </xf>
    <xf numFmtId="0" fontId="3" fillId="0" borderId="9" xfId="64" applyFont="1" applyFill="1" applyBorder="1" applyAlignment="1">
      <alignment vertical="top" wrapText="1"/>
    </xf>
    <xf numFmtId="0" fontId="3" fillId="0" borderId="7" xfId="64" applyFont="1" applyFill="1" applyBorder="1" applyAlignment="1">
      <alignment vertical="top" wrapText="1"/>
    </xf>
    <xf numFmtId="170" fontId="2" fillId="0" borderId="1" xfId="28" applyNumberFormat="1" applyFont="1" applyFill="1" applyBorder="1" applyAlignment="1">
      <alignment horizontal="right" vertical="top" wrapText="1"/>
    </xf>
    <xf numFmtId="166" fontId="7" fillId="0" borderId="1" xfId="29" applyNumberFormat="1" applyFont="1" applyFill="1" applyBorder="1" applyAlignment="1">
      <alignment horizontal="right" vertical="top"/>
    </xf>
    <xf numFmtId="0" fontId="3" fillId="0" borderId="0" xfId="64" applyFont="1" applyBorder="1" applyAlignment="1">
      <alignment vertical="top" wrapText="1"/>
    </xf>
    <xf numFmtId="0" fontId="9" fillId="0" borderId="1" xfId="64" applyFont="1" applyFill="1" applyBorder="1" applyAlignment="1">
      <alignment vertical="top" wrapText="1"/>
    </xf>
    <xf numFmtId="164" fontId="2" fillId="34" borderId="1" xfId="0" applyNumberFormat="1" applyFont="1" applyFill="1" applyBorder="1" applyAlignment="1">
      <alignment horizontal="center" vertical="top" wrapText="1"/>
    </xf>
    <xf numFmtId="0" fontId="3" fillId="34" borderId="4" xfId="0" applyFont="1" applyFill="1" applyBorder="1" applyAlignment="1">
      <alignment horizontal="center" vertical="top" wrapText="1"/>
    </xf>
    <xf numFmtId="0" fontId="2" fillId="34" borderId="23" xfId="0" applyFont="1" applyFill="1" applyBorder="1" applyAlignment="1">
      <alignment vertical="top"/>
    </xf>
    <xf numFmtId="172" fontId="2" fillId="34" borderId="1" xfId="29" applyNumberFormat="1" applyFont="1" applyFill="1" applyBorder="1" applyAlignment="1">
      <alignment horizontal="center" vertical="top" wrapText="1"/>
    </xf>
    <xf numFmtId="166" fontId="2" fillId="34" borderId="1" xfId="29" applyNumberFormat="1" applyFont="1" applyFill="1" applyBorder="1" applyAlignment="1">
      <alignment horizontal="center" vertical="top" wrapText="1"/>
    </xf>
    <xf numFmtId="0" fontId="2" fillId="34" borderId="0" xfId="69" applyFont="1" applyFill="1" applyBorder="1" applyAlignment="1">
      <alignment vertical="top"/>
    </xf>
    <xf numFmtId="0" fontId="2" fillId="34" borderId="15" xfId="63" applyFont="1" applyFill="1" applyBorder="1" applyAlignment="1">
      <alignment horizontal="left" vertical="top"/>
    </xf>
    <xf numFmtId="0" fontId="2" fillId="34" borderId="0" xfId="0" applyFont="1" applyFill="1" applyBorder="1" applyAlignment="1">
      <alignment horizontal="left" vertical="top" wrapText="1"/>
    </xf>
    <xf numFmtId="166" fontId="3" fillId="34" borderId="0" xfId="29" applyFont="1" applyFill="1" applyBorder="1" applyAlignment="1">
      <alignment vertical="top" wrapText="1"/>
    </xf>
    <xf numFmtId="166" fontId="3" fillId="34" borderId="1" xfId="29" applyFont="1" applyFill="1" applyBorder="1" applyAlignment="1">
      <alignment horizontal="center" vertical="top" wrapText="1"/>
    </xf>
    <xf numFmtId="0" fontId="3" fillId="34" borderId="1" xfId="0" applyFont="1" applyFill="1" applyBorder="1" applyAlignment="1">
      <alignment horizontal="left" vertical="top" wrapText="1"/>
    </xf>
    <xf numFmtId="166" fontId="3" fillId="34" borderId="1" xfId="29" applyFont="1" applyFill="1" applyBorder="1" applyAlignment="1">
      <alignment horizontal="right" vertical="top" wrapText="1"/>
    </xf>
    <xf numFmtId="0" fontId="3" fillId="34" borderId="3" xfId="0" applyFont="1" applyFill="1" applyBorder="1" applyAlignment="1">
      <alignment horizontal="left" vertical="top" wrapText="1"/>
    </xf>
    <xf numFmtId="0" fontId="3" fillId="34" borderId="4" xfId="0" applyFont="1" applyFill="1" applyBorder="1" applyAlignment="1">
      <alignment horizontal="left" vertical="top" wrapText="1"/>
    </xf>
    <xf numFmtId="0" fontId="3" fillId="34" borderId="5" xfId="0" applyFont="1" applyFill="1" applyBorder="1" applyAlignment="1">
      <alignment horizontal="left" vertical="top" wrapText="1"/>
    </xf>
    <xf numFmtId="0" fontId="3" fillId="34" borderId="1" xfId="0" applyFont="1" applyFill="1" applyBorder="1" applyAlignment="1">
      <alignment horizontal="center" vertical="top" wrapText="1"/>
    </xf>
    <xf numFmtId="166" fontId="3" fillId="34" borderId="1" xfId="29" quotePrefix="1" applyFont="1" applyFill="1" applyBorder="1" applyAlignment="1">
      <alignment horizontal="center" vertical="top" wrapText="1"/>
    </xf>
    <xf numFmtId="172" fontId="3" fillId="34" borderId="1" xfId="29" applyNumberFormat="1" applyFont="1" applyFill="1" applyBorder="1" applyAlignment="1">
      <alignment horizontal="center" vertical="top" wrapText="1"/>
    </xf>
    <xf numFmtId="0" fontId="3" fillId="34" borderId="5" xfId="0" applyFont="1" applyFill="1" applyBorder="1" applyAlignment="1">
      <alignment horizontal="center" vertical="top" wrapText="1"/>
    </xf>
    <xf numFmtId="0" fontId="3" fillId="34" borderId="5" xfId="0" applyFont="1" applyFill="1" applyBorder="1" applyAlignment="1">
      <alignment horizontal="right" vertical="top" wrapText="1"/>
    </xf>
    <xf numFmtId="0" fontId="0" fillId="0" borderId="15" xfId="0" applyBorder="1"/>
    <xf numFmtId="166" fontId="3" fillId="34" borderId="19" xfId="29" applyNumberFormat="1" applyFont="1" applyFill="1" applyBorder="1" applyAlignment="1">
      <alignment vertical="top"/>
    </xf>
    <xf numFmtId="0" fontId="3" fillId="34" borderId="7" xfId="0" applyFont="1" applyFill="1" applyBorder="1" applyAlignment="1">
      <alignment vertical="top" wrapText="1"/>
    </xf>
    <xf numFmtId="0" fontId="3" fillId="34" borderId="10" xfId="0" applyFont="1" applyFill="1" applyBorder="1" applyAlignment="1">
      <alignment vertical="top" wrapText="1"/>
    </xf>
    <xf numFmtId="0" fontId="3" fillId="34" borderId="18" xfId="0" applyFont="1" applyFill="1" applyBorder="1" applyAlignment="1">
      <alignment vertical="top" wrapText="1"/>
    </xf>
    <xf numFmtId="0" fontId="3" fillId="34" borderId="4" xfId="0" applyFont="1" applyFill="1" applyBorder="1" applyAlignment="1">
      <alignment horizontal="left" vertical="top" wrapText="1"/>
    </xf>
    <xf numFmtId="0" fontId="3" fillId="34" borderId="1" xfId="0" applyFont="1" applyFill="1" applyBorder="1" applyAlignment="1">
      <alignment horizontal="left" vertical="top" wrapText="1"/>
    </xf>
    <xf numFmtId="0" fontId="3" fillId="34" borderId="1" xfId="0" applyFont="1" applyFill="1" applyBorder="1" applyAlignment="1">
      <alignment horizontal="left" vertical="top" wrapText="1"/>
    </xf>
    <xf numFmtId="0" fontId="3" fillId="34" borderId="5" xfId="0" applyFont="1" applyFill="1" applyBorder="1" applyAlignment="1">
      <alignment horizontal="center" vertical="top" wrapText="1"/>
    </xf>
    <xf numFmtId="0" fontId="3" fillId="34" borderId="1" xfId="0" applyFont="1" applyFill="1" applyBorder="1" applyAlignment="1">
      <alignment horizontal="left" vertical="top" wrapText="1"/>
    </xf>
    <xf numFmtId="0" fontId="3" fillId="34" borderId="1" xfId="0" applyFont="1" applyFill="1" applyBorder="1" applyAlignment="1">
      <alignment horizontal="left" vertical="top" wrapText="1"/>
    </xf>
    <xf numFmtId="0" fontId="3" fillId="34" borderId="5" xfId="0" applyFont="1" applyFill="1" applyBorder="1" applyAlignment="1">
      <alignment horizontal="left" vertical="top" wrapText="1"/>
    </xf>
    <xf numFmtId="0" fontId="3" fillId="34" borderId="1" xfId="0" applyFont="1" applyFill="1" applyBorder="1" applyAlignment="1">
      <alignment horizontal="left" vertical="top" wrapText="1"/>
    </xf>
    <xf numFmtId="0" fontId="3" fillId="34" borderId="5" xfId="0" applyFont="1" applyFill="1" applyBorder="1" applyAlignment="1">
      <alignment horizontal="left" vertical="top" wrapText="1"/>
    </xf>
    <xf numFmtId="0" fontId="3" fillId="34" borderId="1" xfId="0" applyFont="1" applyFill="1" applyBorder="1" applyAlignment="1">
      <alignment horizontal="left" vertical="top" wrapText="1"/>
    </xf>
    <xf numFmtId="0" fontId="3" fillId="34" borderId="5" xfId="0" applyFont="1" applyFill="1" applyBorder="1" applyAlignment="1">
      <alignment horizontal="left" vertical="top" wrapText="1"/>
    </xf>
    <xf numFmtId="0" fontId="3" fillId="34" borderId="1" xfId="0" applyFont="1" applyFill="1" applyBorder="1" applyAlignment="1">
      <alignment horizontal="left" vertical="top" wrapText="1"/>
    </xf>
    <xf numFmtId="0" fontId="3" fillId="34" borderId="5" xfId="0" applyFont="1" applyFill="1" applyBorder="1" applyAlignment="1">
      <alignment horizontal="left" vertical="top" wrapText="1"/>
    </xf>
    <xf numFmtId="0" fontId="3" fillId="34" borderId="1" xfId="0" applyFont="1" applyFill="1" applyBorder="1" applyAlignment="1">
      <alignment horizontal="left" vertical="top" wrapText="1"/>
    </xf>
    <xf numFmtId="0" fontId="3" fillId="34" borderId="4" xfId="0" applyFont="1" applyFill="1" applyBorder="1" applyAlignment="1">
      <alignment horizontal="left" vertical="top" wrapText="1"/>
    </xf>
    <xf numFmtId="0" fontId="3" fillId="34" borderId="5" xfId="0" applyFont="1" applyFill="1" applyBorder="1" applyAlignment="1">
      <alignment horizontal="left" vertical="top" wrapText="1"/>
    </xf>
    <xf numFmtId="0" fontId="3" fillId="34" borderId="5" xfId="0" applyFont="1" applyFill="1" applyBorder="1" applyAlignment="1">
      <alignment horizontal="center" vertical="top" wrapText="1"/>
    </xf>
    <xf numFmtId="0" fontId="0" fillId="0" borderId="0" xfId="0" applyBorder="1"/>
    <xf numFmtId="0" fontId="2" fillId="34" borderId="78" xfId="0" applyFont="1" applyFill="1" applyBorder="1" applyAlignment="1">
      <alignment horizontal="center" vertical="top" wrapText="1"/>
    </xf>
    <xf numFmtId="0" fontId="2" fillId="34" borderId="26" xfId="0" applyFont="1" applyFill="1" applyBorder="1" applyAlignment="1">
      <alignment horizontal="center" vertical="top" wrapText="1"/>
    </xf>
    <xf numFmtId="0" fontId="2" fillId="34" borderId="69" xfId="0" applyFont="1" applyFill="1" applyBorder="1" applyAlignment="1">
      <alignment horizontal="center" vertical="top" wrapText="1"/>
    </xf>
    <xf numFmtId="0" fontId="2" fillId="34" borderId="1" xfId="0" applyFont="1" applyFill="1" applyBorder="1" applyAlignment="1">
      <alignment horizontal="center" vertical="top" wrapText="1"/>
    </xf>
    <xf numFmtId="2" fontId="2" fillId="34" borderId="69" xfId="0" applyNumberFormat="1" applyFont="1" applyFill="1" applyBorder="1" applyAlignment="1">
      <alignment horizontal="center" vertical="top" wrapText="1"/>
    </xf>
    <xf numFmtId="2" fontId="2" fillId="34" borderId="1" xfId="0" applyNumberFormat="1" applyFont="1" applyFill="1" applyBorder="1" applyAlignment="1">
      <alignment horizontal="center" vertical="top" wrapText="1"/>
    </xf>
    <xf numFmtId="0" fontId="2" fillId="34" borderId="77" xfId="0" applyFont="1" applyFill="1" applyBorder="1" applyAlignment="1">
      <alignment horizontal="center" vertical="top" wrapText="1"/>
    </xf>
    <xf numFmtId="0" fontId="2" fillId="34" borderId="54" xfId="0" applyFont="1" applyFill="1" applyBorder="1" applyAlignment="1">
      <alignment horizontal="center" vertical="top" wrapText="1"/>
    </xf>
    <xf numFmtId="4" fontId="2" fillId="34" borderId="1" xfId="0" applyNumberFormat="1" applyFont="1" applyFill="1" applyBorder="1" applyAlignment="1">
      <alignment horizontal="center" vertical="top" wrapText="1"/>
    </xf>
    <xf numFmtId="0" fontId="3" fillId="0" borderId="3" xfId="69" applyFont="1" applyFill="1" applyBorder="1" applyAlignment="1">
      <alignment horizontal="left" vertical="top" wrapText="1"/>
    </xf>
    <xf numFmtId="0" fontId="3" fillId="0" borderId="4" xfId="69" applyFont="1" applyFill="1" applyBorder="1" applyAlignment="1">
      <alignment horizontal="left" vertical="top" wrapText="1"/>
    </xf>
    <xf numFmtId="0" fontId="3" fillId="0" borderId="53" xfId="69" applyFont="1" applyFill="1" applyBorder="1" applyAlignment="1">
      <alignment horizontal="left" vertical="top" wrapText="1"/>
    </xf>
    <xf numFmtId="0" fontId="3" fillId="0" borderId="9" xfId="69" applyFont="1" applyFill="1" applyBorder="1" applyAlignment="1">
      <alignment horizontal="left" vertical="top" wrapText="1"/>
    </xf>
    <xf numFmtId="0" fontId="3" fillId="0" borderId="23" xfId="69" applyFont="1" applyFill="1" applyBorder="1" applyAlignment="1">
      <alignment horizontal="left" vertical="top" wrapText="1"/>
    </xf>
    <xf numFmtId="0" fontId="2" fillId="34" borderId="3" xfId="70" applyFont="1" applyFill="1" applyBorder="1" applyAlignment="1">
      <alignment horizontal="left" vertical="top" wrapText="1"/>
    </xf>
    <xf numFmtId="0" fontId="2" fillId="34" borderId="4" xfId="70" applyFont="1" applyFill="1" applyBorder="1" applyAlignment="1">
      <alignment horizontal="left" vertical="top" wrapText="1"/>
    </xf>
    <xf numFmtId="0" fontId="3" fillId="0" borderId="35" xfId="71" applyFont="1" applyFill="1" applyBorder="1" applyAlignment="1">
      <alignment horizontal="left" vertical="top" wrapText="1"/>
    </xf>
    <xf numFmtId="0" fontId="3" fillId="0" borderId="31" xfId="71" applyFont="1" applyFill="1" applyBorder="1" applyAlignment="1">
      <alignment horizontal="left" vertical="top" wrapText="1"/>
    </xf>
    <xf numFmtId="0" fontId="3" fillId="0" borderId="36" xfId="71" applyFont="1" applyFill="1" applyBorder="1" applyAlignment="1">
      <alignment horizontal="left" vertical="top" wrapText="1"/>
    </xf>
    <xf numFmtId="0" fontId="3" fillId="0" borderId="53" xfId="70" applyFont="1" applyFill="1" applyBorder="1" applyAlignment="1">
      <alignment horizontal="left" vertical="top" wrapText="1"/>
    </xf>
    <xf numFmtId="0" fontId="3" fillId="0" borderId="9" xfId="70" applyFont="1" applyFill="1" applyBorder="1" applyAlignment="1">
      <alignment horizontal="left" vertical="top" wrapText="1"/>
    </xf>
    <xf numFmtId="0" fontId="3" fillId="0" borderId="23" xfId="70" applyFont="1" applyFill="1" applyBorder="1" applyAlignment="1">
      <alignment horizontal="left" vertical="top" wrapText="1"/>
    </xf>
    <xf numFmtId="0" fontId="2" fillId="34" borderId="3" xfId="0" applyFont="1" applyFill="1" applyBorder="1" applyAlignment="1">
      <alignment horizontal="left" vertical="top" wrapText="1"/>
    </xf>
    <xf numFmtId="0" fontId="2" fillId="34" borderId="4" xfId="0" applyFont="1" applyFill="1" applyBorder="1" applyAlignment="1">
      <alignment horizontal="left" vertical="top" wrapText="1"/>
    </xf>
    <xf numFmtId="0" fontId="2" fillId="34" borderId="4" xfId="0" applyFont="1" applyFill="1" applyBorder="1" applyAlignment="1">
      <alignment horizontal="left" vertical="top"/>
    </xf>
    <xf numFmtId="0" fontId="3" fillId="0" borderId="26" xfId="72" applyFont="1" applyFill="1" applyBorder="1" applyAlignment="1">
      <alignment horizontal="left" vertical="top" wrapText="1"/>
    </xf>
    <xf numFmtId="0" fontId="3" fillId="0" borderId="79" xfId="73" applyFont="1" applyFill="1" applyBorder="1" applyAlignment="1">
      <alignment horizontal="left" vertical="top" wrapText="1"/>
    </xf>
    <xf numFmtId="0" fontId="3" fillId="0" borderId="80" xfId="73" applyFont="1" applyFill="1" applyBorder="1" applyAlignment="1">
      <alignment horizontal="left" vertical="top" wrapText="1"/>
    </xf>
    <xf numFmtId="0" fontId="3" fillId="0" borderId="81" xfId="73" applyFont="1" applyFill="1" applyBorder="1" applyAlignment="1">
      <alignment horizontal="left" vertical="top" wrapText="1"/>
    </xf>
    <xf numFmtId="0" fontId="3" fillId="0" borderId="28" xfId="73" applyFont="1" applyFill="1" applyBorder="1" applyAlignment="1">
      <alignment horizontal="center" vertical="top" wrapText="1"/>
    </xf>
    <xf numFmtId="0" fontId="3" fillId="0" borderId="2" xfId="73" applyFont="1" applyFill="1" applyBorder="1" applyAlignment="1">
      <alignment horizontal="center" vertical="top" wrapText="1"/>
    </xf>
    <xf numFmtId="0" fontId="3" fillId="0" borderId="1" xfId="72" applyFont="1" applyFill="1" applyBorder="1" applyAlignment="1">
      <alignment horizontal="left" vertical="top" wrapText="1"/>
    </xf>
    <xf numFmtId="0" fontId="3" fillId="0" borderId="3" xfId="72" applyFont="1" applyFill="1" applyBorder="1" applyAlignment="1">
      <alignment horizontal="left" vertical="top" wrapText="1"/>
    </xf>
    <xf numFmtId="0" fontId="3" fillId="34" borderId="3" xfId="74" applyFont="1" applyFill="1" applyBorder="1" applyAlignment="1">
      <alignment horizontal="left" vertical="top" wrapText="1"/>
    </xf>
    <xf numFmtId="0" fontId="3" fillId="34" borderId="4" xfId="74" applyFont="1" applyFill="1" applyBorder="1" applyAlignment="1">
      <alignment horizontal="left" vertical="top" wrapText="1"/>
    </xf>
    <xf numFmtId="0" fontId="3" fillId="34" borderId="5" xfId="74" applyFont="1" applyFill="1" applyBorder="1" applyAlignment="1">
      <alignment horizontal="left" vertical="top" wrapText="1"/>
    </xf>
    <xf numFmtId="0" fontId="3" fillId="0" borderId="70" xfId="74" applyFont="1" applyFill="1" applyBorder="1" applyAlignment="1">
      <alignment horizontal="center" wrapText="1"/>
    </xf>
    <xf numFmtId="0" fontId="3" fillId="0" borderId="27" xfId="74" applyFont="1" applyFill="1" applyBorder="1"/>
    <xf numFmtId="0" fontId="2" fillId="0" borderId="70" xfId="69" applyFont="1" applyFill="1" applyBorder="1" applyAlignment="1">
      <alignment horizontal="left" vertical="center" wrapText="1"/>
    </xf>
    <xf numFmtId="0" fontId="2" fillId="0" borderId="27" xfId="69" applyFont="1" applyFill="1" applyBorder="1" applyAlignment="1">
      <alignment horizontal="left" vertical="center" wrapText="1"/>
    </xf>
    <xf numFmtId="0" fontId="3" fillId="0" borderId="53" xfId="74" applyFont="1" applyFill="1" applyBorder="1" applyAlignment="1">
      <alignment horizontal="left" vertical="top" wrapText="1"/>
    </xf>
    <xf numFmtId="0" fontId="3" fillId="0" borderId="9" xfId="74" applyFont="1" applyFill="1" applyBorder="1" applyAlignment="1">
      <alignment horizontal="left" vertical="top" wrapText="1"/>
    </xf>
    <xf numFmtId="0" fontId="2" fillId="0" borderId="3" xfId="70" applyFont="1" applyFill="1" applyBorder="1" applyAlignment="1">
      <alignment horizontal="left" vertical="top" wrapText="1"/>
    </xf>
    <xf numFmtId="0" fontId="2" fillId="0" borderId="4" xfId="70" applyFont="1" applyFill="1" applyBorder="1" applyAlignment="1">
      <alignment horizontal="left" vertical="top" wrapText="1"/>
    </xf>
    <xf numFmtId="0" fontId="3" fillId="0" borderId="23" xfId="74" applyFont="1" applyFill="1" applyBorder="1" applyAlignment="1">
      <alignment horizontal="left" vertical="top" wrapText="1"/>
    </xf>
    <xf numFmtId="0" fontId="3" fillId="0" borderId="3" xfId="64" applyFont="1" applyFill="1" applyBorder="1" applyAlignment="1">
      <alignment horizontal="left" vertical="top" wrapText="1"/>
    </xf>
    <xf numFmtId="0" fontId="3" fillId="0" borderId="4" xfId="64" applyFont="1" applyFill="1" applyBorder="1" applyAlignment="1">
      <alignment horizontal="left" vertical="top" wrapText="1"/>
    </xf>
    <xf numFmtId="0" fontId="3" fillId="0" borderId="5" xfId="64" applyFont="1" applyFill="1" applyBorder="1" applyAlignment="1">
      <alignment horizontal="left" vertical="top" wrapText="1"/>
    </xf>
    <xf numFmtId="0" fontId="3" fillId="0" borderId="1" xfId="64" applyFont="1" applyFill="1" applyBorder="1" applyAlignment="1">
      <alignment horizontal="left" vertical="top" wrapText="1"/>
    </xf>
    <xf numFmtId="0" fontId="3" fillId="0" borderId="53" xfId="64" applyFont="1" applyFill="1" applyBorder="1" applyAlignment="1">
      <alignment horizontal="left" vertical="top" wrapText="1"/>
    </xf>
    <xf numFmtId="0" fontId="3" fillId="0" borderId="9" xfId="64" applyFont="1" applyFill="1" applyBorder="1" applyAlignment="1">
      <alignment horizontal="left" vertical="top" wrapText="1"/>
    </xf>
    <xf numFmtId="0" fontId="3" fillId="0" borderId="23" xfId="64" applyFont="1" applyFill="1" applyBorder="1" applyAlignment="1">
      <alignment horizontal="left" vertical="top" wrapText="1"/>
    </xf>
    <xf numFmtId="166" fontId="3" fillId="0" borderId="1" xfId="40" applyFont="1" applyFill="1" applyBorder="1" applyAlignment="1">
      <alignment horizontal="center" vertical="center"/>
    </xf>
    <xf numFmtId="0" fontId="3" fillId="0" borderId="2" xfId="72" applyFont="1" applyFill="1" applyBorder="1" applyAlignment="1">
      <alignment horizontal="center" vertical="top"/>
    </xf>
    <xf numFmtId="166" fontId="3" fillId="0" borderId="7" xfId="65" applyNumberFormat="1" applyFont="1" applyFill="1" applyBorder="1" applyAlignment="1">
      <alignment horizontal="center" vertical="center" wrapText="1"/>
    </xf>
    <xf numFmtId="0" fontId="2" fillId="0" borderId="26" xfId="65" applyFont="1" applyFill="1" applyBorder="1" applyAlignment="1">
      <alignment horizontal="left" vertical="top" wrapText="1"/>
    </xf>
    <xf numFmtId="0" fontId="2" fillId="0" borderId="3" xfId="65" applyFont="1" applyFill="1" applyBorder="1" applyAlignment="1">
      <alignment horizontal="left" vertical="top" wrapText="1"/>
    </xf>
    <xf numFmtId="0" fontId="2" fillId="0" borderId="4" xfId="65" applyFont="1" applyFill="1" applyBorder="1" applyAlignment="1">
      <alignment horizontal="left" vertical="top" wrapText="1"/>
    </xf>
    <xf numFmtId="0" fontId="2" fillId="0" borderId="5" xfId="65" applyFont="1" applyFill="1" applyBorder="1" applyAlignment="1">
      <alignment horizontal="left" vertical="top" wrapText="1"/>
    </xf>
    <xf numFmtId="0" fontId="3" fillId="0" borderId="70" xfId="65" applyFont="1" applyFill="1" applyBorder="1" applyAlignment="1">
      <alignment horizontal="center" vertical="top" wrapText="1"/>
    </xf>
    <xf numFmtId="0" fontId="3" fillId="0" borderId="27" xfId="65" applyFont="1" applyFill="1" applyBorder="1" applyAlignment="1">
      <alignment horizontal="center" vertical="top" wrapText="1"/>
    </xf>
    <xf numFmtId="0" fontId="3" fillId="0" borderId="28" xfId="65" applyFont="1" applyFill="1" applyBorder="1" applyAlignment="1">
      <alignment horizontal="center" vertical="top" wrapText="1"/>
    </xf>
    <xf numFmtId="0" fontId="3" fillId="0" borderId="53" xfId="65" applyFont="1" applyFill="1" applyBorder="1" applyAlignment="1">
      <alignment horizontal="left" vertical="top" wrapText="1"/>
    </xf>
    <xf numFmtId="0" fontId="3" fillId="0" borderId="9" xfId="65" applyFont="1" applyFill="1" applyBorder="1" applyAlignment="1">
      <alignment horizontal="left" vertical="top" wrapText="1"/>
    </xf>
    <xf numFmtId="0" fontId="3" fillId="0" borderId="23" xfId="65" applyFont="1" applyFill="1" applyBorder="1" applyAlignment="1">
      <alignment horizontal="left" vertical="top" wrapText="1"/>
    </xf>
    <xf numFmtId="0" fontId="3" fillId="0" borderId="53"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70" xfId="0" applyFont="1" applyFill="1" applyBorder="1" applyAlignment="1">
      <alignment horizontal="center"/>
    </xf>
    <xf numFmtId="0" fontId="3" fillId="0" borderId="27" xfId="0" applyFont="1" applyFill="1" applyBorder="1" applyAlignment="1">
      <alignment horizontal="center"/>
    </xf>
    <xf numFmtId="0" fontId="3" fillId="0" borderId="53" xfId="72" applyFont="1" applyFill="1" applyBorder="1" applyAlignment="1">
      <alignment horizontal="left" vertical="top" wrapText="1"/>
    </xf>
    <xf numFmtId="0" fontId="3" fillId="0" borderId="9" xfId="72" applyFont="1" applyFill="1" applyBorder="1" applyAlignment="1">
      <alignment horizontal="left" vertical="top" wrapText="1"/>
    </xf>
    <xf numFmtId="0" fontId="3" fillId="0" borderId="39" xfId="71" applyFont="1" applyFill="1" applyBorder="1" applyAlignment="1">
      <alignment horizontal="left" vertical="top" wrapText="1"/>
    </xf>
    <xf numFmtId="0" fontId="3" fillId="0" borderId="40" xfId="71" applyFont="1" applyFill="1" applyBorder="1" applyAlignment="1">
      <alignment horizontal="left" vertical="top" wrapText="1"/>
    </xf>
    <xf numFmtId="0" fontId="2" fillId="0" borderId="35" xfId="71" applyFont="1" applyFill="1" applyBorder="1" applyAlignment="1">
      <alignment horizontal="left" vertical="top" wrapText="1"/>
    </xf>
    <xf numFmtId="0" fontId="2" fillId="0" borderId="31" xfId="71" applyFont="1" applyFill="1" applyBorder="1" applyAlignment="1">
      <alignment horizontal="left" vertical="top" wrapText="1"/>
    </xf>
    <xf numFmtId="49" fontId="2" fillId="34" borderId="3" xfId="69" applyNumberFormat="1" applyFont="1" applyFill="1" applyBorder="1" applyAlignment="1">
      <alignment horizontal="left" vertical="top" wrapText="1"/>
    </xf>
    <xf numFmtId="49" fontId="2" fillId="34" borderId="4" xfId="69" applyNumberFormat="1" applyFont="1" applyFill="1" applyBorder="1" applyAlignment="1">
      <alignment horizontal="left" vertical="top" wrapText="1"/>
    </xf>
    <xf numFmtId="0" fontId="3" fillId="34" borderId="53" xfId="0" applyFont="1" applyFill="1" applyBorder="1" applyAlignment="1">
      <alignment horizontal="left" vertical="top" wrapText="1"/>
    </xf>
    <xf numFmtId="0" fontId="3" fillId="34" borderId="9" xfId="0" applyFont="1" applyFill="1" applyBorder="1" applyAlignment="1">
      <alignment horizontal="left" vertical="top" wrapText="1"/>
    </xf>
    <xf numFmtId="0" fontId="3" fillId="34" borderId="3" xfId="0" applyFont="1" applyFill="1" applyBorder="1" applyAlignment="1">
      <alignment horizontal="left" vertical="top" wrapText="1"/>
    </xf>
    <xf numFmtId="0" fontId="3" fillId="34" borderId="4" xfId="0" applyFont="1" applyFill="1" applyBorder="1" applyAlignment="1">
      <alignment horizontal="left" vertical="top" wrapText="1"/>
    </xf>
    <xf numFmtId="0" fontId="3" fillId="34" borderId="23" xfId="0" applyFont="1" applyFill="1" applyBorder="1" applyAlignment="1">
      <alignment horizontal="left" vertical="top" wrapText="1"/>
    </xf>
    <xf numFmtId="0" fontId="2" fillId="34" borderId="70" xfId="65" applyFont="1" applyFill="1" applyBorder="1" applyAlignment="1">
      <alignment horizontal="center" vertical="top" wrapText="1"/>
    </xf>
    <xf numFmtId="0" fontId="2" fillId="34" borderId="27" xfId="65" applyFont="1" applyFill="1" applyBorder="1" applyAlignment="1">
      <alignment horizontal="center" vertical="top" wrapText="1"/>
    </xf>
    <xf numFmtId="0" fontId="2" fillId="34" borderId="28" xfId="65" applyFont="1" applyFill="1" applyBorder="1" applyAlignment="1">
      <alignment horizontal="center" vertical="top" wrapText="1"/>
    </xf>
    <xf numFmtId="0" fontId="3" fillId="34" borderId="1" xfId="0" applyFont="1" applyFill="1" applyBorder="1" applyAlignment="1">
      <alignment horizontal="left" vertical="top" wrapText="1"/>
    </xf>
    <xf numFmtId="0" fontId="3" fillId="34" borderId="26" xfId="65" applyFont="1" applyFill="1" applyBorder="1" applyAlignment="1">
      <alignment horizontal="left" vertical="top" wrapText="1"/>
    </xf>
    <xf numFmtId="0" fontId="3" fillId="34" borderId="26" xfId="0" applyFont="1" applyFill="1" applyBorder="1" applyAlignment="1">
      <alignment horizontal="left" vertical="top" wrapText="1"/>
    </xf>
    <xf numFmtId="0" fontId="3" fillId="34" borderId="53" xfId="68" applyFont="1" applyFill="1" applyBorder="1" applyAlignment="1">
      <alignment horizontal="left" vertical="top" wrapText="1"/>
    </xf>
    <xf numFmtId="0" fontId="3" fillId="34" borderId="9" xfId="68" applyFont="1" applyFill="1" applyBorder="1" applyAlignment="1">
      <alignment horizontal="left" vertical="top" wrapText="1"/>
    </xf>
    <xf numFmtId="0" fontId="3" fillId="34" borderId="23" xfId="68" applyFont="1" applyFill="1" applyBorder="1" applyAlignment="1">
      <alignment horizontal="left" vertical="top" wrapText="1"/>
    </xf>
    <xf numFmtId="0" fontId="2" fillId="34" borderId="70" xfId="0" applyFont="1" applyFill="1" applyBorder="1" applyAlignment="1">
      <alignment horizontal="left" vertical="top"/>
    </xf>
    <xf numFmtId="0" fontId="2" fillId="34" borderId="27" xfId="0" applyFont="1" applyFill="1" applyBorder="1" applyAlignment="1">
      <alignment horizontal="left" vertical="top"/>
    </xf>
    <xf numFmtId="0" fontId="2" fillId="34" borderId="28" xfId="0" applyFont="1" applyFill="1" applyBorder="1" applyAlignment="1">
      <alignment horizontal="left" vertical="top"/>
    </xf>
    <xf numFmtId="0" fontId="9" fillId="34" borderId="53" xfId="68" applyFont="1" applyFill="1" applyBorder="1" applyAlignment="1">
      <alignment horizontal="left" vertical="top" wrapText="1"/>
    </xf>
    <xf numFmtId="0" fontId="9" fillId="34" borderId="9" xfId="68" applyFont="1" applyFill="1" applyBorder="1" applyAlignment="1">
      <alignment horizontal="left" vertical="top" wrapText="1"/>
    </xf>
    <xf numFmtId="0" fontId="2" fillId="34" borderId="26" xfId="69" applyFont="1" applyFill="1" applyBorder="1" applyAlignment="1">
      <alignment horizontal="left" vertical="top" wrapText="1"/>
    </xf>
    <xf numFmtId="0" fontId="2" fillId="34" borderId="5" xfId="0" applyFont="1" applyFill="1" applyBorder="1" applyAlignment="1">
      <alignment horizontal="left" vertical="top" wrapText="1"/>
    </xf>
    <xf numFmtId="0" fontId="2" fillId="34" borderId="70" xfId="69" applyFont="1" applyFill="1" applyBorder="1" applyAlignment="1">
      <alignment horizontal="left" vertical="top"/>
    </xf>
    <xf numFmtId="0" fontId="2" fillId="34" borderId="27" xfId="69" applyFont="1" applyFill="1" applyBorder="1" applyAlignment="1">
      <alignment horizontal="left" vertical="top"/>
    </xf>
    <xf numFmtId="0" fontId="2" fillId="34" borderId="28" xfId="69" applyFont="1" applyFill="1" applyBorder="1" applyAlignment="1">
      <alignment horizontal="left" vertical="top"/>
    </xf>
    <xf numFmtId="0" fontId="2" fillId="34" borderId="53" xfId="0" applyFont="1" applyFill="1" applyBorder="1" applyAlignment="1">
      <alignment horizontal="left" vertical="top" wrapText="1"/>
    </xf>
    <xf numFmtId="0" fontId="2" fillId="34" borderId="9" xfId="0" applyFont="1" applyFill="1" applyBorder="1" applyAlignment="1">
      <alignment horizontal="left" vertical="top" wrapText="1"/>
    </xf>
    <xf numFmtId="0" fontId="3" fillId="34" borderId="2" xfId="0" applyFont="1" applyFill="1" applyBorder="1" applyAlignment="1">
      <alignment horizontal="center" vertical="top" wrapText="1"/>
    </xf>
    <xf numFmtId="166" fontId="3" fillId="34" borderId="1" xfId="29" applyFont="1" applyFill="1" applyBorder="1" applyAlignment="1">
      <alignment horizontal="center" vertical="top" wrapText="1"/>
    </xf>
    <xf numFmtId="166" fontId="3" fillId="34" borderId="1" xfId="29" applyFont="1" applyFill="1" applyBorder="1" applyAlignment="1">
      <alignment horizontal="right" vertical="top" wrapText="1"/>
    </xf>
    <xf numFmtId="0" fontId="3" fillId="34" borderId="69" xfId="0" applyFont="1" applyFill="1" applyBorder="1" applyAlignment="1">
      <alignment horizontal="center" vertical="top" wrapText="1"/>
    </xf>
    <xf numFmtId="0" fontId="3" fillId="34" borderId="1" xfId="0" applyFont="1" applyFill="1" applyBorder="1" applyAlignment="1">
      <alignment horizontal="center" vertical="top" wrapText="1"/>
    </xf>
    <xf numFmtId="0" fontId="3" fillId="34" borderId="3" xfId="70" applyFont="1" applyFill="1" applyBorder="1" applyAlignment="1">
      <alignment horizontal="left" vertical="top" wrapText="1"/>
    </xf>
    <xf numFmtId="0" fontId="3" fillId="34" borderId="4" xfId="70" applyFont="1" applyFill="1" applyBorder="1" applyAlignment="1">
      <alignment horizontal="left" vertical="top" wrapText="1"/>
    </xf>
    <xf numFmtId="0" fontId="3" fillId="34" borderId="5" xfId="0" applyFont="1" applyFill="1" applyBorder="1" applyAlignment="1">
      <alignment horizontal="left" vertical="top" wrapText="1"/>
    </xf>
    <xf numFmtId="0" fontId="3" fillId="34" borderId="78" xfId="0" applyFont="1" applyFill="1" applyBorder="1" applyAlignment="1">
      <alignment horizontal="center" vertical="top" wrapText="1"/>
    </xf>
    <xf numFmtId="0" fontId="3" fillId="34" borderId="26" xfId="0" applyFont="1" applyFill="1" applyBorder="1" applyAlignment="1">
      <alignment horizontal="center" vertical="top" wrapText="1"/>
    </xf>
    <xf numFmtId="0" fontId="3" fillId="34" borderId="53" xfId="73" applyFont="1" applyFill="1" applyBorder="1" applyAlignment="1">
      <alignment horizontal="left" vertical="top" wrapText="1"/>
    </xf>
    <xf numFmtId="0" fontId="3" fillId="34" borderId="9" xfId="73" applyFont="1" applyFill="1" applyBorder="1" applyAlignment="1">
      <alignment horizontal="left" vertical="top" wrapText="1"/>
    </xf>
    <xf numFmtId="0" fontId="3" fillId="34" borderId="82" xfId="0" applyFont="1" applyFill="1" applyBorder="1" applyAlignment="1">
      <alignment horizontal="center" vertical="top" wrapText="1"/>
    </xf>
    <xf numFmtId="0" fontId="3" fillId="34" borderId="6" xfId="0" applyFont="1" applyFill="1" applyBorder="1" applyAlignment="1">
      <alignment horizontal="center" vertical="top" wrapText="1"/>
    </xf>
    <xf numFmtId="166" fontId="3" fillId="34" borderId="1" xfId="29" quotePrefix="1" applyFont="1" applyFill="1" applyBorder="1" applyAlignment="1">
      <alignment horizontal="center" vertical="top" wrapText="1"/>
    </xf>
    <xf numFmtId="172" fontId="3" fillId="34" borderId="1" xfId="29" applyNumberFormat="1" applyFont="1" applyFill="1" applyBorder="1" applyAlignment="1">
      <alignment horizontal="center" vertical="top" wrapText="1"/>
    </xf>
    <xf numFmtId="166" fontId="3" fillId="34" borderId="69" xfId="29" applyFont="1" applyFill="1" applyBorder="1" applyAlignment="1">
      <alignment horizontal="center" vertical="top" wrapText="1"/>
    </xf>
    <xf numFmtId="166" fontId="3" fillId="34" borderId="69" xfId="29" quotePrefix="1" applyFont="1" applyFill="1" applyBorder="1" applyAlignment="1">
      <alignment horizontal="center" vertical="top" wrapText="1"/>
    </xf>
    <xf numFmtId="172" fontId="3" fillId="34" borderId="69" xfId="29" applyNumberFormat="1" applyFont="1" applyFill="1" applyBorder="1" applyAlignment="1">
      <alignment horizontal="center" vertical="top" wrapText="1"/>
    </xf>
    <xf numFmtId="166" fontId="3" fillId="34" borderId="1" xfId="28" applyNumberFormat="1" applyFont="1" applyFill="1" applyBorder="1" applyAlignment="1">
      <alignment horizontal="center" vertical="center" wrapText="1"/>
    </xf>
    <xf numFmtId="166" fontId="3" fillId="34" borderId="1" xfId="28" applyNumberFormat="1" applyFont="1" applyFill="1" applyBorder="1" applyAlignment="1">
      <alignment horizontal="center" vertical="top" wrapText="1"/>
    </xf>
    <xf numFmtId="0" fontId="3" fillId="34" borderId="1" xfId="70" applyFont="1" applyFill="1" applyBorder="1" applyAlignment="1">
      <alignment horizontal="center" vertical="top" wrapText="1"/>
    </xf>
    <xf numFmtId="0" fontId="3" fillId="34" borderId="5" xfId="70" applyFont="1" applyFill="1" applyBorder="1" applyAlignment="1">
      <alignment horizontal="center" vertical="top" wrapText="1"/>
    </xf>
    <xf numFmtId="0" fontId="2" fillId="34" borderId="82" xfId="0" applyFont="1" applyFill="1" applyBorder="1" applyAlignment="1">
      <alignment horizontal="center" vertical="top" wrapText="1"/>
    </xf>
    <xf numFmtId="0" fontId="2" fillId="34" borderId="6" xfId="0" applyFont="1" applyFill="1" applyBorder="1" applyAlignment="1">
      <alignment horizontal="center" vertical="top" wrapText="1"/>
    </xf>
    <xf numFmtId="0" fontId="3" fillId="34" borderId="1" xfId="75" applyFont="1" applyFill="1" applyBorder="1" applyAlignment="1">
      <alignment horizontal="left" vertical="top" wrapText="1"/>
    </xf>
    <xf numFmtId="166" fontId="3" fillId="34" borderId="4" xfId="29" applyFont="1" applyFill="1" applyBorder="1" applyAlignment="1">
      <alignment horizontal="center" vertical="top" wrapText="1"/>
    </xf>
    <xf numFmtId="172" fontId="2" fillId="34" borderId="69" xfId="29" applyNumberFormat="1" applyFont="1" applyFill="1" applyBorder="1" applyAlignment="1">
      <alignment horizontal="center" vertical="top" wrapText="1"/>
    </xf>
    <xf numFmtId="172" fontId="2" fillId="34" borderId="1" xfId="29" applyNumberFormat="1" applyFont="1" applyFill="1" applyBorder="1" applyAlignment="1">
      <alignment horizontal="center" vertical="top" wrapText="1"/>
    </xf>
    <xf numFmtId="166" fontId="2" fillId="34" borderId="69" xfId="29" applyFont="1" applyFill="1" applyBorder="1" applyAlignment="1">
      <alignment horizontal="center" vertical="top" wrapText="1"/>
    </xf>
    <xf numFmtId="166" fontId="2" fillId="34" borderId="69" xfId="29" quotePrefix="1" applyFont="1" applyFill="1" applyBorder="1" applyAlignment="1">
      <alignment horizontal="center" vertical="top" wrapText="1"/>
    </xf>
    <xf numFmtId="166" fontId="2" fillId="34" borderId="1" xfId="29" quotePrefix="1" applyFont="1" applyFill="1" applyBorder="1" applyAlignment="1">
      <alignment horizontal="center" vertical="top" wrapText="1"/>
    </xf>
    <xf numFmtId="166" fontId="2" fillId="34" borderId="1" xfId="29" applyFont="1" applyFill="1" applyBorder="1" applyAlignment="1">
      <alignment horizontal="center" vertical="top" wrapText="1"/>
    </xf>
    <xf numFmtId="0" fontId="3" fillId="34" borderId="53" xfId="74" applyFont="1" applyFill="1" applyBorder="1" applyAlignment="1">
      <alignment horizontal="left" vertical="top" wrapText="1"/>
    </xf>
    <xf numFmtId="0" fontId="3" fillId="34" borderId="9" xfId="74" applyFont="1" applyFill="1" applyBorder="1" applyAlignment="1">
      <alignment horizontal="left" vertical="top" wrapText="1"/>
    </xf>
    <xf numFmtId="0" fontId="3" fillId="34" borderId="23" xfId="74" applyFont="1" applyFill="1" applyBorder="1" applyAlignment="1">
      <alignment horizontal="left" vertical="top" wrapText="1"/>
    </xf>
    <xf numFmtId="0" fontId="3" fillId="34" borderId="26" xfId="0" applyFont="1" applyFill="1" applyBorder="1" applyAlignment="1">
      <alignment horizontal="center" vertical="center" wrapText="1"/>
    </xf>
    <xf numFmtId="0" fontId="3" fillId="34" borderId="1" xfId="0" applyFont="1" applyFill="1" applyBorder="1" applyAlignment="1">
      <alignment horizontal="center" vertical="center" wrapText="1"/>
    </xf>
    <xf numFmtId="166" fontId="3" fillId="34" borderId="1" xfId="40" applyNumberFormat="1" applyFont="1" applyFill="1" applyBorder="1" applyAlignment="1">
      <alignment horizontal="center" vertical="center"/>
    </xf>
    <xf numFmtId="0" fontId="3" fillId="34" borderId="3" xfId="72" applyFont="1" applyFill="1" applyBorder="1" applyAlignment="1">
      <alignment horizontal="left" vertical="top" wrapText="1"/>
    </xf>
    <xf numFmtId="0" fontId="3" fillId="34" borderId="4" xfId="72" applyFont="1" applyFill="1" applyBorder="1" applyAlignment="1">
      <alignment horizontal="left" vertical="top" wrapText="1"/>
    </xf>
    <xf numFmtId="0" fontId="3" fillId="34" borderId="1" xfId="73" applyFont="1" applyFill="1" applyBorder="1" applyAlignment="1">
      <alignment horizontal="left" vertical="top" wrapText="1"/>
    </xf>
    <xf numFmtId="0" fontId="3" fillId="34" borderId="26" xfId="63" applyFont="1" applyFill="1" applyBorder="1" applyAlignment="1">
      <alignment horizontal="left" vertical="top" wrapText="1"/>
    </xf>
    <xf numFmtId="0" fontId="3" fillId="34" borderId="1" xfId="63" applyFont="1" applyFill="1" applyBorder="1" applyAlignment="1">
      <alignment horizontal="left" vertical="top" wrapText="1"/>
    </xf>
    <xf numFmtId="0" fontId="3" fillId="34" borderId="53" xfId="72" applyFont="1" applyFill="1" applyBorder="1" applyAlignment="1">
      <alignment horizontal="left" vertical="top" wrapText="1"/>
    </xf>
    <xf numFmtId="0" fontId="3" fillId="34" borderId="9" xfId="72" applyFont="1" applyFill="1" applyBorder="1" applyAlignment="1">
      <alignment horizontal="left" vertical="top" wrapText="1"/>
    </xf>
    <xf numFmtId="0" fontId="3" fillId="34" borderId="23" xfId="72" applyFont="1" applyFill="1" applyBorder="1" applyAlignment="1">
      <alignment horizontal="left" vertical="top" wrapText="1"/>
    </xf>
    <xf numFmtId="0" fontId="3" fillId="34" borderId="1" xfId="70" applyFont="1" applyFill="1" applyBorder="1" applyAlignment="1">
      <alignment horizontal="left" vertical="top" wrapText="1"/>
    </xf>
    <xf numFmtId="0" fontId="3" fillId="34" borderId="3" xfId="71" applyFont="1" applyFill="1" applyBorder="1" applyAlignment="1">
      <alignment horizontal="left" vertical="top" wrapText="1"/>
    </xf>
    <xf numFmtId="0" fontId="3" fillId="34" borderId="4" xfId="71" applyFont="1" applyFill="1" applyBorder="1" applyAlignment="1">
      <alignment horizontal="left" vertical="top" wrapText="1"/>
    </xf>
    <xf numFmtId="0" fontId="3" fillId="34" borderId="3" xfId="71" applyNumberFormat="1" applyFont="1" applyFill="1" applyBorder="1" applyAlignment="1">
      <alignment horizontal="left" vertical="top" wrapText="1"/>
    </xf>
    <xf numFmtId="0" fontId="3" fillId="34" borderId="4" xfId="71" applyNumberFormat="1" applyFont="1" applyFill="1" applyBorder="1" applyAlignment="1">
      <alignment horizontal="left" vertical="top" wrapText="1"/>
    </xf>
    <xf numFmtId="0" fontId="3" fillId="34" borderId="53" xfId="71" applyFont="1" applyFill="1" applyBorder="1" applyAlignment="1">
      <alignment horizontal="left" vertical="top" wrapText="1"/>
    </xf>
    <xf numFmtId="0" fontId="3" fillId="34" borderId="9" xfId="71" applyFont="1" applyFill="1" applyBorder="1" applyAlignment="1">
      <alignment horizontal="left" vertical="top" wrapText="1"/>
    </xf>
    <xf numFmtId="0" fontId="3" fillId="34" borderId="23" xfId="71" applyFont="1" applyFill="1" applyBorder="1" applyAlignment="1">
      <alignment horizontal="left" vertical="top" wrapText="1"/>
    </xf>
    <xf numFmtId="0" fontId="3" fillId="34" borderId="53" xfId="70" applyFont="1" applyFill="1" applyBorder="1" applyAlignment="1">
      <alignment horizontal="left" vertical="top" wrapText="1"/>
    </xf>
    <xf numFmtId="0" fontId="3" fillId="34" borderId="9" xfId="70" applyFont="1" applyFill="1" applyBorder="1" applyAlignment="1">
      <alignment horizontal="left" vertical="top" wrapText="1"/>
    </xf>
    <xf numFmtId="0" fontId="3" fillId="34" borderId="1" xfId="69" applyFont="1" applyFill="1" applyBorder="1" applyAlignment="1">
      <alignment horizontal="left" vertical="top" wrapText="1"/>
    </xf>
    <xf numFmtId="166" fontId="3" fillId="34" borderId="1" xfId="43" applyNumberFormat="1" applyFont="1" applyFill="1" applyBorder="1" applyAlignment="1">
      <alignment horizontal="right" vertical="top"/>
    </xf>
    <xf numFmtId="0" fontId="3" fillId="34" borderId="1" xfId="65" applyFont="1" applyFill="1" applyBorder="1" applyAlignment="1">
      <alignment horizontal="left" vertical="top" wrapText="1"/>
    </xf>
    <xf numFmtId="0" fontId="3" fillId="34" borderId="3" xfId="68" applyFont="1" applyFill="1" applyBorder="1" applyAlignment="1">
      <alignment horizontal="left" vertical="top" wrapText="1"/>
    </xf>
    <xf numFmtId="0" fontId="3" fillId="34" borderId="4" xfId="68" applyFont="1" applyFill="1" applyBorder="1" applyAlignment="1">
      <alignment horizontal="left" vertical="top" wrapText="1"/>
    </xf>
    <xf numFmtId="0" fontId="3" fillId="34" borderId="53" xfId="69" applyFont="1" applyFill="1" applyBorder="1" applyAlignment="1">
      <alignment horizontal="left" vertical="top" wrapText="1"/>
    </xf>
    <xf numFmtId="0" fontId="3" fillId="34" borderId="9" xfId="69" applyFont="1" applyFill="1" applyBorder="1" applyAlignment="1">
      <alignment horizontal="left" vertical="top" wrapText="1"/>
    </xf>
    <xf numFmtId="0" fontId="3" fillId="34" borderId="23" xfId="69" applyFont="1" applyFill="1" applyBorder="1" applyAlignment="1">
      <alignment horizontal="left" vertical="top" wrapText="1"/>
    </xf>
    <xf numFmtId="0" fontId="3" fillId="34" borderId="0" xfId="0" applyFont="1" applyFill="1" applyBorder="1" applyAlignment="1">
      <alignment horizontal="center" vertical="top" wrapText="1"/>
    </xf>
    <xf numFmtId="0" fontId="3" fillId="34" borderId="60" xfId="0" applyFont="1" applyFill="1" applyBorder="1" applyAlignment="1">
      <alignment horizontal="center" vertical="top" wrapText="1"/>
    </xf>
    <xf numFmtId="0" fontId="3" fillId="34" borderId="4" xfId="0" applyFont="1" applyFill="1" applyBorder="1" applyAlignment="1">
      <alignment horizontal="center" vertical="top" wrapText="1"/>
    </xf>
    <xf numFmtId="0" fontId="3" fillId="34" borderId="5" xfId="0" applyFont="1" applyFill="1" applyBorder="1" applyAlignment="1">
      <alignment horizontal="center" vertical="top" wrapText="1"/>
    </xf>
    <xf numFmtId="0" fontId="3" fillId="34" borderId="3" xfId="63" applyFont="1" applyFill="1" applyBorder="1" applyAlignment="1">
      <alignment horizontal="left" vertical="top" wrapText="1"/>
    </xf>
    <xf numFmtId="0" fontId="3" fillId="34" borderId="4" xfId="63" applyFont="1" applyFill="1" applyBorder="1" applyAlignment="1">
      <alignment horizontal="left" vertical="top" wrapText="1"/>
    </xf>
    <xf numFmtId="0" fontId="3" fillId="34" borderId="5" xfId="0" applyFont="1" applyFill="1" applyBorder="1" applyAlignment="1">
      <alignment horizontal="left" vertical="top"/>
    </xf>
    <xf numFmtId="0" fontId="2" fillId="34" borderId="82" xfId="63" applyFont="1" applyFill="1" applyBorder="1" applyAlignment="1">
      <alignment horizontal="center" vertical="center" wrapText="1"/>
    </xf>
    <xf numFmtId="0" fontId="2" fillId="34" borderId="6" xfId="63" applyFont="1" applyFill="1" applyBorder="1" applyAlignment="1">
      <alignment horizontal="center" vertical="center" wrapText="1"/>
    </xf>
    <xf numFmtId="0" fontId="2" fillId="34" borderId="22" xfId="63" applyFont="1" applyFill="1" applyBorder="1" applyAlignment="1">
      <alignment horizontal="center" vertical="center" wrapText="1"/>
    </xf>
    <xf numFmtId="166" fontId="3" fillId="34" borderId="1" xfId="32" applyFont="1" applyFill="1" applyBorder="1" applyAlignment="1">
      <alignment horizontal="center" vertical="center" wrapText="1"/>
    </xf>
    <xf numFmtId="0" fontId="3" fillId="34" borderId="1" xfId="63" applyFont="1" applyFill="1" applyBorder="1" applyAlignment="1">
      <alignment horizontal="right" vertical="top" wrapText="1"/>
    </xf>
    <xf numFmtId="166" fontId="45" fillId="34" borderId="1" xfId="32" applyFont="1" applyFill="1" applyBorder="1" applyAlignment="1">
      <alignment horizontal="center" vertical="center" wrapText="1"/>
    </xf>
    <xf numFmtId="3" fontId="3" fillId="34" borderId="1" xfId="63" applyNumberFormat="1" applyFont="1" applyFill="1" applyBorder="1" applyAlignment="1">
      <alignment horizontal="right" vertical="top" wrapText="1"/>
    </xf>
    <xf numFmtId="174" fontId="46" fillId="34" borderId="94" xfId="0" applyNumberFormat="1" applyFont="1" applyFill="1" applyBorder="1" applyAlignment="1">
      <alignment horizontal="right" vertical="top" wrapText="1"/>
    </xf>
    <xf numFmtId="174" fontId="46" fillId="34" borderId="96" xfId="0" applyNumberFormat="1" applyFont="1" applyFill="1" applyBorder="1" applyAlignment="1">
      <alignment horizontal="right" vertical="top" wrapText="1"/>
    </xf>
    <xf numFmtId="174" fontId="46" fillId="34" borderId="95" xfId="0" applyNumberFormat="1" applyFont="1" applyFill="1" applyBorder="1" applyAlignment="1">
      <alignment horizontal="right" vertical="top" wrapText="1"/>
    </xf>
    <xf numFmtId="174" fontId="46" fillId="34" borderId="94" xfId="0" applyNumberFormat="1" applyFont="1" applyFill="1" applyBorder="1" applyAlignment="1">
      <alignment horizontal="right" vertical="top"/>
    </xf>
    <xf numFmtId="174" fontId="46" fillId="34" borderId="95" xfId="0" applyNumberFormat="1" applyFont="1" applyFill="1" applyBorder="1" applyAlignment="1">
      <alignment horizontal="right" vertical="top"/>
    </xf>
    <xf numFmtId="0" fontId="42" fillId="34" borderId="26" xfId="63" applyFont="1" applyFill="1" applyBorder="1" applyAlignment="1">
      <alignment horizontal="left" vertical="top" wrapText="1"/>
    </xf>
    <xf numFmtId="0" fontId="42" fillId="34" borderId="26" xfId="67" applyFont="1" applyFill="1" applyBorder="1" applyAlignment="1">
      <alignment horizontal="left" vertical="top" wrapText="1"/>
    </xf>
    <xf numFmtId="170" fontId="46" fillId="34" borderId="94" xfId="28" applyNumberFormat="1" applyFont="1" applyFill="1" applyBorder="1" applyAlignment="1">
      <alignment horizontal="center" vertical="top" wrapText="1"/>
    </xf>
    <xf numFmtId="170" fontId="46" fillId="34" borderId="95" xfId="28" applyNumberFormat="1" applyFont="1" applyFill="1" applyBorder="1" applyAlignment="1">
      <alignment horizontal="center" vertical="top" wrapText="1"/>
    </xf>
    <xf numFmtId="0" fontId="2" fillId="34" borderId="69" xfId="63" applyFont="1" applyFill="1" applyBorder="1" applyAlignment="1">
      <alignment horizontal="center" vertical="center" wrapText="1"/>
    </xf>
    <xf numFmtId="0" fontId="2" fillId="34" borderId="1" xfId="63" applyFont="1" applyFill="1" applyBorder="1" applyAlignment="1">
      <alignment horizontal="center" vertical="center" wrapText="1"/>
    </xf>
    <xf numFmtId="0" fontId="2" fillId="34" borderId="2" xfId="63" applyFont="1" applyFill="1" applyBorder="1" applyAlignment="1">
      <alignment horizontal="center" vertical="center" wrapText="1"/>
    </xf>
    <xf numFmtId="0" fontId="42" fillId="34" borderId="78" xfId="67" applyFont="1" applyFill="1" applyBorder="1" applyAlignment="1">
      <alignment horizontal="center" vertical="center" wrapText="1"/>
    </xf>
    <xf numFmtId="0" fontId="42" fillId="34" borderId="26" xfId="67" applyFont="1" applyFill="1" applyBorder="1" applyAlignment="1">
      <alignment horizontal="center" vertical="center" wrapText="1"/>
    </xf>
    <xf numFmtId="0" fontId="42" fillId="34" borderId="24" xfId="67" applyFont="1" applyFill="1" applyBorder="1" applyAlignment="1">
      <alignment horizontal="center" vertical="center" wrapText="1"/>
    </xf>
    <xf numFmtId="0" fontId="42" fillId="34" borderId="69" xfId="67" applyFont="1" applyFill="1" applyBorder="1" applyAlignment="1">
      <alignment horizontal="center" vertical="center" wrapText="1"/>
    </xf>
    <xf numFmtId="0" fontId="42" fillId="34" borderId="1" xfId="67" applyFont="1" applyFill="1" applyBorder="1" applyAlignment="1">
      <alignment horizontal="center" vertical="center" wrapText="1"/>
    </xf>
    <xf numFmtId="0" fontId="42" fillId="34" borderId="2" xfId="67" applyFont="1" applyFill="1" applyBorder="1" applyAlignment="1">
      <alignment horizontal="center" vertical="center" wrapText="1"/>
    </xf>
    <xf numFmtId="0" fontId="53" fillId="0" borderId="0" xfId="0" applyFont="1" applyAlignment="1">
      <alignment horizontal="center"/>
    </xf>
  </cellXfs>
  <cellStyles count="8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0]" xfId="29" builtinId="6"/>
    <cellStyle name="Comma [0] 10" xfId="30"/>
    <cellStyle name="Comma [0] 11" xfId="31"/>
    <cellStyle name="Comma [0] 12" xfId="32"/>
    <cellStyle name="Comma [0] 2" xfId="33"/>
    <cellStyle name="Comma [0] 2 2" xfId="34"/>
    <cellStyle name="Comma [0] 3" xfId="35"/>
    <cellStyle name="Comma [0] 4" xfId="36"/>
    <cellStyle name="Comma [0] 5" xfId="37"/>
    <cellStyle name="Comma [0] 6" xfId="38"/>
    <cellStyle name="Comma [0] 7" xfId="39"/>
    <cellStyle name="Comma [0] 8" xfId="40"/>
    <cellStyle name="Comma [0] 9" xfId="41"/>
    <cellStyle name="Comma 10" xfId="42"/>
    <cellStyle name="Comma 2" xfId="43"/>
    <cellStyle name="Comma 3" xfId="44"/>
    <cellStyle name="Comma 4" xfId="45"/>
    <cellStyle name="Comma 5" xfId="46"/>
    <cellStyle name="Comma 6" xfId="47"/>
    <cellStyle name="Comma 7" xfId="48"/>
    <cellStyle name="Comma 8" xfId="49"/>
    <cellStyle name="Comma 9" xfId="50"/>
    <cellStyle name="Currency [0] 2" xfId="51"/>
    <cellStyle name="Currency [0] 4" xfId="52"/>
    <cellStyle name="Explanatory Text" xfId="53" builtinId="53" customBuiltin="1"/>
    <cellStyle name="Good" xfId="54" builtinId="26" customBuiltin="1"/>
    <cellStyle name="Heading 1" xfId="55" builtinId="16" customBuiltin="1"/>
    <cellStyle name="Heading 2" xfId="56" builtinId="17" customBuiltin="1"/>
    <cellStyle name="Heading 3" xfId="57" builtinId="18" customBuiltin="1"/>
    <cellStyle name="Heading 4" xfId="58" builtinId="19" customBuiltin="1"/>
    <cellStyle name="Hyperlink" xfId="59" builtinId="8"/>
    <cellStyle name="Input" xfId="60" builtinId="20" customBuiltin="1"/>
    <cellStyle name="Linked Cell" xfId="61" builtinId="24" customBuiltin="1"/>
    <cellStyle name="Neutral" xfId="62" builtinId="28" customBuiltin="1"/>
    <cellStyle name="Normal" xfId="0" builtinId="0"/>
    <cellStyle name="Normal 10" xfId="63"/>
    <cellStyle name="Normal 11" xfId="64"/>
    <cellStyle name="Normal 2" xfId="65"/>
    <cellStyle name="Normal 2 2" xfId="66"/>
    <cellStyle name="Normal 2 3" xfId="67"/>
    <cellStyle name="Normal 3" xfId="68"/>
    <cellStyle name="Normal 4" xfId="69"/>
    <cellStyle name="Normal 5" xfId="70"/>
    <cellStyle name="Normal 6" xfId="71"/>
    <cellStyle name="Normal 7" xfId="72"/>
    <cellStyle name="Normal 8" xfId="73"/>
    <cellStyle name="Normal 9" xfId="74"/>
    <cellStyle name="Normal_Sheet1" xfId="75"/>
    <cellStyle name="Note" xfId="76" builtinId="10" customBuiltin="1"/>
    <cellStyle name="Output" xfId="77" builtinId="21" customBuiltin="1"/>
    <cellStyle name="Percent" xfId="78" builtinId="5"/>
    <cellStyle name="Percent 2 2" xfId="79"/>
    <cellStyle name="Percent 3" xfId="80"/>
    <cellStyle name="Percent 4" xfId="81"/>
    <cellStyle name="TableStyleLight1" xfId="82"/>
    <cellStyle name="Title" xfId="83" builtinId="15" customBuiltin="1"/>
    <cellStyle name="Total" xfId="84" builtinId="25" customBuiltin="1"/>
    <cellStyle name="Warning Text" xfId="8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G821"/>
  <sheetViews>
    <sheetView zoomScale="90" zoomScaleNormal="90" workbookViewId="0">
      <selection activeCell="B1" sqref="B1"/>
    </sheetView>
  </sheetViews>
  <sheetFormatPr defaultRowHeight="12.75" x14ac:dyDescent="0.25"/>
  <cols>
    <col min="1" max="1" width="9.140625" style="532"/>
    <col min="2" max="4" width="13.5703125" style="532" customWidth="1"/>
    <col min="5" max="5" width="14.85546875" style="532" customWidth="1"/>
    <col min="6" max="6" width="16.5703125" style="532" customWidth="1"/>
    <col min="7" max="7" width="29" style="532" customWidth="1"/>
    <col min="8" max="8" width="13.5703125" style="532" customWidth="1"/>
    <col min="9" max="9" width="10.42578125" style="197" customWidth="1"/>
    <col min="10" max="10" width="13" style="533" customWidth="1"/>
    <col min="11" max="11" width="12.85546875" style="532" customWidth="1"/>
    <col min="12" max="12" width="13.42578125" style="532" customWidth="1"/>
    <col min="13" max="13" width="12.7109375" style="532" customWidth="1"/>
    <col min="14" max="14" width="13.7109375" style="532" customWidth="1"/>
    <col min="15" max="15" width="13.42578125" style="532" customWidth="1"/>
    <col min="16" max="16" width="13.140625" style="532" customWidth="1"/>
    <col min="17" max="17" width="13.42578125" style="532" customWidth="1"/>
    <col min="18" max="18" width="13" style="532" customWidth="1"/>
    <col min="19" max="19" width="13.85546875" style="532" customWidth="1"/>
    <col min="20" max="21" width="13.140625" style="532" customWidth="1"/>
    <col min="22" max="22" width="13.28515625" style="532" customWidth="1"/>
    <col min="23" max="23" width="12.85546875" style="532" customWidth="1"/>
    <col min="24" max="24" width="28.42578125" style="532" customWidth="1"/>
    <col min="25" max="25" width="12.5703125" style="532" customWidth="1"/>
    <col min="26" max="16384" width="9.140625" style="532"/>
  </cols>
  <sheetData>
    <row r="2" spans="2:25" ht="13.5" thickBot="1" x14ac:dyDescent="0.3">
      <c r="B2" s="246" t="s">
        <v>2338</v>
      </c>
    </row>
    <row r="3" spans="2:25" s="219" customFormat="1" thickTop="1" x14ac:dyDescent="0.2">
      <c r="B3" s="1932" t="s">
        <v>1</v>
      </c>
      <c r="C3" s="1934" t="s">
        <v>2</v>
      </c>
      <c r="D3" s="1934" t="s">
        <v>3</v>
      </c>
      <c r="E3" s="1934" t="s">
        <v>4</v>
      </c>
      <c r="F3" s="1934" t="s">
        <v>5</v>
      </c>
      <c r="G3" s="1934" t="s">
        <v>6</v>
      </c>
      <c r="H3" s="1934" t="s">
        <v>1854</v>
      </c>
      <c r="I3" s="1934" t="s">
        <v>31</v>
      </c>
      <c r="J3" s="1936" t="s">
        <v>1855</v>
      </c>
      <c r="K3" s="1934" t="s">
        <v>7</v>
      </c>
      <c r="L3" s="1934"/>
      <c r="M3" s="1934"/>
      <c r="N3" s="1934"/>
      <c r="O3" s="1934"/>
      <c r="P3" s="1934"/>
      <c r="Q3" s="1934"/>
      <c r="R3" s="1934"/>
      <c r="S3" s="1934"/>
      <c r="T3" s="1934"/>
      <c r="U3" s="1934"/>
      <c r="V3" s="1934"/>
      <c r="W3" s="1934"/>
      <c r="X3" s="1934" t="s">
        <v>8</v>
      </c>
      <c r="Y3" s="1938" t="s">
        <v>1856</v>
      </c>
    </row>
    <row r="4" spans="2:25" s="219" customFormat="1" ht="12" x14ac:dyDescent="0.2">
      <c r="B4" s="1933"/>
      <c r="C4" s="1935"/>
      <c r="D4" s="1935"/>
      <c r="E4" s="1935"/>
      <c r="F4" s="1935"/>
      <c r="G4" s="1935"/>
      <c r="H4" s="1935"/>
      <c r="I4" s="1935"/>
      <c r="J4" s="1937"/>
      <c r="K4" s="1935">
        <v>2016</v>
      </c>
      <c r="L4" s="1935"/>
      <c r="M4" s="1935">
        <v>2017</v>
      </c>
      <c r="N4" s="1935"/>
      <c r="O4" s="1935">
        <v>2018</v>
      </c>
      <c r="P4" s="1935"/>
      <c r="Q4" s="1935">
        <v>2019</v>
      </c>
      <c r="R4" s="1935"/>
      <c r="S4" s="1935">
        <v>2020</v>
      </c>
      <c r="T4" s="1935"/>
      <c r="U4" s="1935">
        <v>2021</v>
      </c>
      <c r="V4" s="1935"/>
      <c r="W4" s="1940" t="s">
        <v>1857</v>
      </c>
      <c r="X4" s="1935"/>
      <c r="Y4" s="1939"/>
    </row>
    <row r="5" spans="2:25" s="219" customFormat="1" ht="12" x14ac:dyDescent="0.2">
      <c r="B5" s="1933"/>
      <c r="C5" s="1935"/>
      <c r="D5" s="1935"/>
      <c r="E5" s="1935"/>
      <c r="F5" s="1935"/>
      <c r="G5" s="1935"/>
      <c r="H5" s="1935"/>
      <c r="I5" s="1935"/>
      <c r="J5" s="1937"/>
      <c r="K5" s="707" t="s">
        <v>1858</v>
      </c>
      <c r="L5" s="1889" t="s">
        <v>1355</v>
      </c>
      <c r="M5" s="844" t="s">
        <v>1858</v>
      </c>
      <c r="N5" s="1889" t="s">
        <v>1355</v>
      </c>
      <c r="O5" s="844" t="s">
        <v>1858</v>
      </c>
      <c r="P5" s="1889" t="s">
        <v>1355</v>
      </c>
      <c r="Q5" s="844" t="s">
        <v>1858</v>
      </c>
      <c r="R5" s="1889" t="s">
        <v>1355</v>
      </c>
      <c r="S5" s="844" t="s">
        <v>1858</v>
      </c>
      <c r="T5" s="1889" t="s">
        <v>1355</v>
      </c>
      <c r="U5" s="844" t="s">
        <v>1858</v>
      </c>
      <c r="V5" s="1889" t="s">
        <v>1355</v>
      </c>
      <c r="W5" s="1940"/>
      <c r="X5" s="1935"/>
      <c r="Y5" s="1939"/>
    </row>
    <row r="6" spans="2:25" ht="72" x14ac:dyDescent="0.25">
      <c r="B6" s="1997" t="s">
        <v>1462</v>
      </c>
      <c r="C6" s="1954" t="s">
        <v>3909</v>
      </c>
      <c r="D6" s="1954" t="s">
        <v>3908</v>
      </c>
      <c r="E6" s="1954" t="s">
        <v>4020</v>
      </c>
      <c r="F6" s="685" t="s">
        <v>4021</v>
      </c>
      <c r="G6" s="976" t="s">
        <v>4022</v>
      </c>
      <c r="H6" s="655"/>
      <c r="I6" s="189" t="s">
        <v>19</v>
      </c>
      <c r="J6" s="982">
        <v>14.821442060734249</v>
      </c>
      <c r="K6" s="982">
        <v>16.084378304879891</v>
      </c>
      <c r="L6" s="655"/>
      <c r="M6" s="982">
        <v>16.107984589817193</v>
      </c>
      <c r="N6" s="655"/>
      <c r="O6" s="982">
        <v>16.131590874754494</v>
      </c>
      <c r="P6" s="200"/>
      <c r="Q6" s="982">
        <v>16.155197159691799</v>
      </c>
      <c r="R6" s="200"/>
      <c r="S6" s="982">
        <v>16.178803444629096</v>
      </c>
      <c r="T6" s="200"/>
      <c r="U6" s="982">
        <v>16.202409729566401</v>
      </c>
      <c r="V6" s="200"/>
      <c r="W6" s="982">
        <v>16.202409729566401</v>
      </c>
      <c r="X6" s="236"/>
      <c r="Y6" s="185" t="s">
        <v>2338</v>
      </c>
    </row>
    <row r="7" spans="2:25" ht="60" x14ac:dyDescent="0.25">
      <c r="B7" s="1998"/>
      <c r="C7" s="1955"/>
      <c r="D7" s="1955"/>
      <c r="E7" s="1955"/>
      <c r="F7" s="170"/>
      <c r="G7" s="39" t="s">
        <v>1463</v>
      </c>
      <c r="H7" s="38" t="s">
        <v>1464</v>
      </c>
      <c r="I7" s="189" t="s">
        <v>100</v>
      </c>
      <c r="J7" s="190">
        <v>31393</v>
      </c>
      <c r="K7" s="41">
        <v>32134</v>
      </c>
      <c r="L7" s="42">
        <f>SUM(L8:L14)</f>
        <v>1250000</v>
      </c>
      <c r="M7" s="41">
        <v>31168</v>
      </c>
      <c r="N7" s="42">
        <f>SUM(N8:N14)</f>
        <v>1250000</v>
      </c>
      <c r="O7" s="41">
        <v>31980</v>
      </c>
      <c r="P7" s="42">
        <f>SUM(P8:P14)</f>
        <v>3600000</v>
      </c>
      <c r="Q7" s="41">
        <v>32205</v>
      </c>
      <c r="R7" s="42">
        <f>SUM(R8:R14)</f>
        <v>3775000</v>
      </c>
      <c r="S7" s="41">
        <v>32625</v>
      </c>
      <c r="T7" s="42">
        <f>SUM(T8:T14)</f>
        <v>4100000</v>
      </c>
      <c r="U7" s="41">
        <v>32625</v>
      </c>
      <c r="V7" s="42">
        <f>SUM(V8:V14)</f>
        <v>4200000</v>
      </c>
      <c r="W7" s="41">
        <v>5208</v>
      </c>
      <c r="X7" s="237"/>
      <c r="Y7" s="185" t="s">
        <v>2338</v>
      </c>
    </row>
    <row r="8" spans="2:25" ht="51" x14ac:dyDescent="0.25">
      <c r="B8" s="1998"/>
      <c r="C8" s="1956"/>
      <c r="D8" s="1956"/>
      <c r="E8" s="1956"/>
      <c r="F8" s="170"/>
      <c r="G8" s="2000" t="s">
        <v>2339</v>
      </c>
      <c r="H8" s="31" t="s">
        <v>2340</v>
      </c>
      <c r="I8" s="32" t="s">
        <v>69</v>
      </c>
      <c r="J8" s="33"/>
      <c r="K8" s="34">
        <v>1</v>
      </c>
      <c r="L8" s="35">
        <v>700000</v>
      </c>
      <c r="M8" s="34">
        <v>1</v>
      </c>
      <c r="N8" s="35">
        <v>700000</v>
      </c>
      <c r="O8" s="34">
        <v>1</v>
      </c>
      <c r="P8" s="35">
        <v>3000000</v>
      </c>
      <c r="Q8" s="34">
        <v>1</v>
      </c>
      <c r="R8" s="35">
        <v>3000000</v>
      </c>
      <c r="S8" s="34">
        <v>1</v>
      </c>
      <c r="T8" s="35">
        <v>3000000</v>
      </c>
      <c r="U8" s="34">
        <v>1</v>
      </c>
      <c r="V8" s="35">
        <v>3000000</v>
      </c>
      <c r="W8" s="238"/>
      <c r="X8" s="239"/>
      <c r="Y8" s="185" t="s">
        <v>2338</v>
      </c>
    </row>
    <row r="9" spans="2:25" ht="63.75" x14ac:dyDescent="0.25">
      <c r="B9" s="1998"/>
      <c r="C9" s="12"/>
      <c r="D9" s="12"/>
      <c r="E9" s="12"/>
      <c r="F9" s="12"/>
      <c r="G9" s="2000"/>
      <c r="H9" s="31" t="s">
        <v>2341</v>
      </c>
      <c r="I9" s="32" t="s">
        <v>2342</v>
      </c>
      <c r="J9" s="35"/>
      <c r="K9" s="34">
        <v>30518</v>
      </c>
      <c r="L9" s="35">
        <v>0</v>
      </c>
      <c r="M9" s="34">
        <v>30518</v>
      </c>
      <c r="N9" s="35">
        <v>0</v>
      </c>
      <c r="O9" s="34">
        <v>30518</v>
      </c>
      <c r="P9" s="35">
        <v>0</v>
      </c>
      <c r="Q9" s="34">
        <v>30518</v>
      </c>
      <c r="R9" s="35">
        <v>0</v>
      </c>
      <c r="S9" s="34">
        <v>30618</v>
      </c>
      <c r="T9" s="35">
        <v>0</v>
      </c>
      <c r="U9" s="34">
        <v>30518</v>
      </c>
      <c r="V9" s="35">
        <v>0</v>
      </c>
      <c r="W9" s="34"/>
      <c r="X9" s="239"/>
      <c r="Y9" s="185" t="s">
        <v>2338</v>
      </c>
    </row>
    <row r="10" spans="2:25" ht="89.25" x14ac:dyDescent="0.25">
      <c r="B10" s="1998"/>
      <c r="C10" s="12"/>
      <c r="D10" s="12"/>
      <c r="E10" s="12"/>
      <c r="F10" s="12"/>
      <c r="G10" s="2000"/>
      <c r="H10" s="31" t="s">
        <v>2343</v>
      </c>
      <c r="I10" s="32" t="s">
        <v>69</v>
      </c>
      <c r="J10" s="43"/>
      <c r="K10" s="34">
        <v>117</v>
      </c>
      <c r="L10" s="35">
        <v>0</v>
      </c>
      <c r="M10" s="34">
        <v>117</v>
      </c>
      <c r="N10" s="35">
        <v>0</v>
      </c>
      <c r="O10" s="34">
        <v>117</v>
      </c>
      <c r="P10" s="35">
        <v>0</v>
      </c>
      <c r="Q10" s="34">
        <v>117</v>
      </c>
      <c r="R10" s="35">
        <v>0</v>
      </c>
      <c r="S10" s="34">
        <v>117</v>
      </c>
      <c r="T10" s="35">
        <v>0</v>
      </c>
      <c r="U10" s="34">
        <v>117</v>
      </c>
      <c r="V10" s="35">
        <v>0</v>
      </c>
      <c r="W10" s="238"/>
      <c r="X10" s="239"/>
      <c r="Y10" s="185" t="s">
        <v>2338</v>
      </c>
    </row>
    <row r="11" spans="2:25" ht="38.25" x14ac:dyDescent="0.25">
      <c r="B11" s="1998"/>
      <c r="C11" s="12"/>
      <c r="D11" s="12"/>
      <c r="E11" s="12"/>
      <c r="F11" s="12"/>
      <c r="G11" s="2000" t="s">
        <v>2344</v>
      </c>
      <c r="H11" s="31" t="s">
        <v>2345</v>
      </c>
      <c r="I11" s="32" t="s">
        <v>103</v>
      </c>
      <c r="J11" s="33"/>
      <c r="K11" s="34">
        <v>3</v>
      </c>
      <c r="L11" s="36">
        <v>350000</v>
      </c>
      <c r="M11" s="34">
        <v>3</v>
      </c>
      <c r="N11" s="36">
        <v>350000</v>
      </c>
      <c r="O11" s="34">
        <v>3</v>
      </c>
      <c r="P11" s="36">
        <v>450000</v>
      </c>
      <c r="Q11" s="34">
        <v>3</v>
      </c>
      <c r="R11" s="36">
        <v>600000</v>
      </c>
      <c r="S11" s="34">
        <v>3</v>
      </c>
      <c r="T11" s="36">
        <v>900000</v>
      </c>
      <c r="U11" s="34">
        <v>3</v>
      </c>
      <c r="V11" s="36">
        <v>1000000</v>
      </c>
      <c r="W11" s="238"/>
      <c r="X11" s="239"/>
      <c r="Y11" s="185" t="s">
        <v>2338</v>
      </c>
    </row>
    <row r="12" spans="2:25" ht="76.5" x14ac:dyDescent="0.25">
      <c r="B12" s="1998"/>
      <c r="C12" s="12"/>
      <c r="D12" s="12"/>
      <c r="E12" s="12"/>
      <c r="F12" s="12"/>
      <c r="G12" s="2000"/>
      <c r="H12" s="31" t="s">
        <v>2346</v>
      </c>
      <c r="I12" s="32" t="s">
        <v>1483</v>
      </c>
      <c r="J12" s="33"/>
      <c r="K12" s="34">
        <v>157</v>
      </c>
      <c r="L12" s="37">
        <v>0</v>
      </c>
      <c r="M12" s="34">
        <v>0</v>
      </c>
      <c r="N12" s="37">
        <v>0</v>
      </c>
      <c r="O12" s="34">
        <v>200</v>
      </c>
      <c r="P12" s="37">
        <v>0</v>
      </c>
      <c r="Q12" s="34">
        <v>300</v>
      </c>
      <c r="R12" s="37">
        <v>0</v>
      </c>
      <c r="S12" s="34">
        <v>450</v>
      </c>
      <c r="T12" s="37">
        <v>0</v>
      </c>
      <c r="U12" s="34">
        <v>500</v>
      </c>
      <c r="V12" s="37">
        <v>0</v>
      </c>
      <c r="W12" s="238"/>
      <c r="X12" s="239"/>
      <c r="Y12" s="185" t="s">
        <v>2338</v>
      </c>
    </row>
    <row r="13" spans="2:25" ht="38.25" x14ac:dyDescent="0.25">
      <c r="B13" s="1998"/>
      <c r="C13" s="12"/>
      <c r="D13" s="12"/>
      <c r="E13" s="12"/>
      <c r="F13" s="12"/>
      <c r="G13" s="2000" t="s">
        <v>2347</v>
      </c>
      <c r="H13" s="31" t="s">
        <v>2348</v>
      </c>
      <c r="I13" s="32" t="s">
        <v>103</v>
      </c>
      <c r="J13" s="43"/>
      <c r="K13" s="34">
        <v>1</v>
      </c>
      <c r="L13" s="36">
        <v>200000</v>
      </c>
      <c r="M13" s="34">
        <v>1</v>
      </c>
      <c r="N13" s="36">
        <v>200000</v>
      </c>
      <c r="O13" s="34">
        <v>1</v>
      </c>
      <c r="P13" s="36">
        <v>150000</v>
      </c>
      <c r="Q13" s="34">
        <v>1</v>
      </c>
      <c r="R13" s="36">
        <v>175000</v>
      </c>
      <c r="S13" s="34">
        <v>1</v>
      </c>
      <c r="T13" s="36">
        <v>200000</v>
      </c>
      <c r="U13" s="34">
        <v>1</v>
      </c>
      <c r="V13" s="36">
        <v>200000</v>
      </c>
      <c r="W13" s="238"/>
      <c r="X13" s="239"/>
      <c r="Y13" s="185" t="s">
        <v>2338</v>
      </c>
    </row>
    <row r="14" spans="2:25" ht="89.25" x14ac:dyDescent="0.25">
      <c r="B14" s="1998"/>
      <c r="C14" s="12"/>
      <c r="D14" s="12"/>
      <c r="E14" s="12"/>
      <c r="F14" s="12"/>
      <c r="G14" s="2000"/>
      <c r="H14" s="31" t="s">
        <v>2349</v>
      </c>
      <c r="I14" s="32" t="s">
        <v>100</v>
      </c>
      <c r="J14" s="43"/>
      <c r="K14" s="34">
        <v>90</v>
      </c>
      <c r="L14" s="37">
        <v>0</v>
      </c>
      <c r="M14" s="34">
        <v>0</v>
      </c>
      <c r="N14" s="37">
        <v>0</v>
      </c>
      <c r="O14" s="34">
        <v>65</v>
      </c>
      <c r="P14" s="37">
        <v>0</v>
      </c>
      <c r="Q14" s="34">
        <v>70</v>
      </c>
      <c r="R14" s="37">
        <v>0</v>
      </c>
      <c r="S14" s="34">
        <v>75</v>
      </c>
      <c r="T14" s="37">
        <v>0</v>
      </c>
      <c r="U14" s="34">
        <v>75</v>
      </c>
      <c r="V14" s="37">
        <v>0</v>
      </c>
      <c r="W14" s="238"/>
      <c r="X14" s="239"/>
      <c r="Y14" s="185" t="s">
        <v>2338</v>
      </c>
    </row>
    <row r="15" spans="2:25" ht="84" x14ac:dyDescent="0.25">
      <c r="B15" s="1998"/>
      <c r="C15" s="12"/>
      <c r="D15" s="12"/>
      <c r="E15" s="12"/>
      <c r="F15" s="45"/>
      <c r="G15" s="38" t="s">
        <v>763</v>
      </c>
      <c r="H15" s="39" t="s">
        <v>1465</v>
      </c>
      <c r="I15" s="40" t="s">
        <v>100</v>
      </c>
      <c r="J15" s="235">
        <v>0</v>
      </c>
      <c r="K15" s="199">
        <v>198</v>
      </c>
      <c r="L15" s="41">
        <f>SUM(L16:L19)</f>
        <v>170000</v>
      </c>
      <c r="M15" s="199">
        <v>75</v>
      </c>
      <c r="N15" s="41">
        <f>SUM(N16:N19)</f>
        <v>190000</v>
      </c>
      <c r="O15" s="199">
        <v>165</v>
      </c>
      <c r="P15" s="41">
        <f>SUM(P16:P19)</f>
        <v>175000</v>
      </c>
      <c r="Q15" s="199">
        <v>170</v>
      </c>
      <c r="R15" s="41">
        <f>SUM(R16:R19)</f>
        <v>210000</v>
      </c>
      <c r="S15" s="199">
        <v>175</v>
      </c>
      <c r="T15" s="41">
        <f>SUM(T16:T19)</f>
        <v>250000</v>
      </c>
      <c r="U15" s="199">
        <v>175</v>
      </c>
      <c r="V15" s="41">
        <f>SUM(V16:V19)</f>
        <v>250000</v>
      </c>
      <c r="W15" s="240">
        <v>708</v>
      </c>
      <c r="X15" s="241"/>
      <c r="Y15" s="185" t="s">
        <v>2338</v>
      </c>
    </row>
    <row r="16" spans="2:25" ht="102" x14ac:dyDescent="0.25">
      <c r="B16" s="1998"/>
      <c r="C16" s="12"/>
      <c r="D16" s="12"/>
      <c r="E16" s="12"/>
      <c r="F16" s="12"/>
      <c r="G16" s="2000" t="s">
        <v>2350</v>
      </c>
      <c r="H16" s="31" t="s">
        <v>2351</v>
      </c>
      <c r="I16" s="32" t="s">
        <v>103</v>
      </c>
      <c r="J16" s="43"/>
      <c r="K16" s="34">
        <v>1</v>
      </c>
      <c r="L16" s="36">
        <v>150000</v>
      </c>
      <c r="M16" s="34">
        <v>1</v>
      </c>
      <c r="N16" s="36">
        <v>150000</v>
      </c>
      <c r="O16" s="34">
        <v>1</v>
      </c>
      <c r="P16" s="36">
        <v>125000</v>
      </c>
      <c r="Q16" s="34">
        <v>1</v>
      </c>
      <c r="R16" s="36">
        <v>150000</v>
      </c>
      <c r="S16" s="34">
        <v>1</v>
      </c>
      <c r="T16" s="36">
        <v>175000</v>
      </c>
      <c r="U16" s="34">
        <v>1</v>
      </c>
      <c r="V16" s="36">
        <v>175000</v>
      </c>
      <c r="W16" s="238"/>
      <c r="X16" s="239"/>
      <c r="Y16" s="185" t="s">
        <v>2338</v>
      </c>
    </row>
    <row r="17" spans="2:25" ht="127.5" x14ac:dyDescent="0.25">
      <c r="B17" s="1998"/>
      <c r="C17" s="12"/>
      <c r="D17" s="12"/>
      <c r="E17" s="12"/>
      <c r="F17" s="12"/>
      <c r="G17" s="2000"/>
      <c r="H17" s="31" t="s">
        <v>2352</v>
      </c>
      <c r="I17" s="32" t="s">
        <v>100</v>
      </c>
      <c r="J17" s="43"/>
      <c r="K17" s="34">
        <v>148</v>
      </c>
      <c r="L17" s="37">
        <v>0</v>
      </c>
      <c r="M17" s="34">
        <v>0</v>
      </c>
      <c r="N17" s="37">
        <v>0</v>
      </c>
      <c r="O17" s="34">
        <v>65</v>
      </c>
      <c r="P17" s="37">
        <v>0</v>
      </c>
      <c r="Q17" s="34">
        <v>70</v>
      </c>
      <c r="R17" s="37">
        <v>0</v>
      </c>
      <c r="S17" s="34">
        <v>75</v>
      </c>
      <c r="T17" s="37">
        <v>0</v>
      </c>
      <c r="U17" s="34">
        <v>75</v>
      </c>
      <c r="V17" s="37">
        <v>0</v>
      </c>
      <c r="W17" s="238"/>
      <c r="X17" s="239"/>
      <c r="Y17" s="185" t="s">
        <v>2338</v>
      </c>
    </row>
    <row r="18" spans="2:25" ht="63.75" x14ac:dyDescent="0.25">
      <c r="B18" s="1998"/>
      <c r="C18" s="12"/>
      <c r="D18" s="12"/>
      <c r="E18" s="12"/>
      <c r="F18" s="12"/>
      <c r="G18" s="2000" t="s">
        <v>2353</v>
      </c>
      <c r="H18" s="30" t="s">
        <v>2354</v>
      </c>
      <c r="I18" s="32" t="s">
        <v>100</v>
      </c>
      <c r="J18" s="43"/>
      <c r="K18" s="34">
        <v>50</v>
      </c>
      <c r="L18" s="36">
        <v>20000</v>
      </c>
      <c r="M18" s="34">
        <v>75</v>
      </c>
      <c r="N18" s="36">
        <v>40000</v>
      </c>
      <c r="O18" s="34">
        <v>100</v>
      </c>
      <c r="P18" s="36">
        <v>50000</v>
      </c>
      <c r="Q18" s="34">
        <v>100</v>
      </c>
      <c r="R18" s="36">
        <v>60000</v>
      </c>
      <c r="S18" s="34">
        <v>100</v>
      </c>
      <c r="T18" s="36">
        <v>75000</v>
      </c>
      <c r="U18" s="34">
        <v>100</v>
      </c>
      <c r="V18" s="36">
        <v>75000</v>
      </c>
      <c r="W18" s="238"/>
      <c r="X18" s="239"/>
      <c r="Y18" s="185" t="s">
        <v>2338</v>
      </c>
    </row>
    <row r="19" spans="2:25" ht="51" x14ac:dyDescent="0.25">
      <c r="B19" s="1998"/>
      <c r="C19" s="12"/>
      <c r="D19" s="12"/>
      <c r="E19" s="12"/>
      <c r="F19" s="12"/>
      <c r="G19" s="2000"/>
      <c r="H19" s="30" t="s">
        <v>2355</v>
      </c>
      <c r="I19" s="32" t="s">
        <v>103</v>
      </c>
      <c r="J19" s="43"/>
      <c r="K19" s="34">
        <v>2</v>
      </c>
      <c r="L19" s="37">
        <v>0</v>
      </c>
      <c r="M19" s="242">
        <v>30</v>
      </c>
      <c r="N19" s="37">
        <v>0</v>
      </c>
      <c r="O19" s="242">
        <v>30</v>
      </c>
      <c r="P19" s="37">
        <v>0</v>
      </c>
      <c r="Q19" s="242">
        <v>30</v>
      </c>
      <c r="R19" s="37">
        <v>0</v>
      </c>
      <c r="S19" s="242">
        <v>30</v>
      </c>
      <c r="T19" s="37">
        <v>0</v>
      </c>
      <c r="U19" s="242">
        <v>30</v>
      </c>
      <c r="V19" s="37">
        <v>0</v>
      </c>
      <c r="W19" s="238"/>
      <c r="X19" s="239"/>
      <c r="Y19" s="185" t="s">
        <v>2338</v>
      </c>
    </row>
    <row r="20" spans="2:25" ht="72" x14ac:dyDescent="0.25">
      <c r="B20" s="1998"/>
      <c r="C20" s="12"/>
      <c r="D20" s="12"/>
      <c r="E20" s="12"/>
      <c r="F20" s="45"/>
      <c r="G20" s="38" t="s">
        <v>1466</v>
      </c>
      <c r="H20" s="39" t="s">
        <v>1467</v>
      </c>
      <c r="I20" s="40" t="s">
        <v>100</v>
      </c>
      <c r="J20" s="235">
        <v>20</v>
      </c>
      <c r="K20" s="243">
        <v>204</v>
      </c>
      <c r="L20" s="243">
        <f>SUM(L21)</f>
        <v>350000</v>
      </c>
      <c r="M20" s="243">
        <v>204</v>
      </c>
      <c r="N20" s="243">
        <f>SUM(N21)</f>
        <v>350000</v>
      </c>
      <c r="O20" s="243">
        <v>70</v>
      </c>
      <c r="P20" s="243">
        <f>SUM(P21)</f>
        <v>150000</v>
      </c>
      <c r="Q20" s="243">
        <v>80</v>
      </c>
      <c r="R20" s="243">
        <f>SUM(R21)</f>
        <v>175000</v>
      </c>
      <c r="S20" s="243">
        <v>90</v>
      </c>
      <c r="T20" s="243">
        <f>SUM(T21)</f>
        <v>200000</v>
      </c>
      <c r="U20" s="243">
        <v>90</v>
      </c>
      <c r="V20" s="243">
        <f>SUM(V21)</f>
        <v>200000</v>
      </c>
      <c r="W20" s="240">
        <v>444</v>
      </c>
      <c r="X20" s="241"/>
      <c r="Y20" s="185" t="s">
        <v>2338</v>
      </c>
    </row>
    <row r="21" spans="2:25" ht="127.5" x14ac:dyDescent="0.25">
      <c r="B21" s="1998"/>
      <c r="C21" s="12"/>
      <c r="D21" s="12"/>
      <c r="E21" s="12"/>
      <c r="F21" s="12"/>
      <c r="G21" s="30" t="s">
        <v>2356</v>
      </c>
      <c r="H21" s="30" t="s">
        <v>2357</v>
      </c>
      <c r="I21" s="32" t="s">
        <v>100</v>
      </c>
      <c r="J21" s="43"/>
      <c r="K21" s="34">
        <v>204</v>
      </c>
      <c r="L21" s="35">
        <v>350000</v>
      </c>
      <c r="M21" s="34">
        <v>204</v>
      </c>
      <c r="N21" s="35">
        <v>350000</v>
      </c>
      <c r="O21" s="34">
        <v>70</v>
      </c>
      <c r="P21" s="35">
        <v>150000</v>
      </c>
      <c r="Q21" s="34">
        <v>80</v>
      </c>
      <c r="R21" s="35">
        <v>175000</v>
      </c>
      <c r="S21" s="34">
        <v>90</v>
      </c>
      <c r="T21" s="35">
        <v>200000</v>
      </c>
      <c r="U21" s="34">
        <v>90</v>
      </c>
      <c r="V21" s="35">
        <v>200000</v>
      </c>
      <c r="W21" s="238"/>
      <c r="X21" s="239"/>
      <c r="Y21" s="185" t="s">
        <v>2338</v>
      </c>
    </row>
    <row r="22" spans="2:25" ht="60" x14ac:dyDescent="0.25">
      <c r="B22" s="1998"/>
      <c r="C22" s="12"/>
      <c r="D22" s="12"/>
      <c r="E22" s="12"/>
      <c r="F22" s="45"/>
      <c r="G22" s="38" t="s">
        <v>1468</v>
      </c>
      <c r="H22" s="39" t="s">
        <v>1469</v>
      </c>
      <c r="I22" s="40" t="s">
        <v>100</v>
      </c>
      <c r="J22" s="235">
        <v>225</v>
      </c>
      <c r="K22" s="243">
        <v>650</v>
      </c>
      <c r="L22" s="243">
        <f>SUM(L23)</f>
        <v>350000</v>
      </c>
      <c r="M22" s="243">
        <v>650</v>
      </c>
      <c r="N22" s="243">
        <f>SUM(N23)</f>
        <v>350000</v>
      </c>
      <c r="O22" s="243">
        <v>650</v>
      </c>
      <c r="P22" s="243">
        <f>SUM(P23)</f>
        <v>225000</v>
      </c>
      <c r="Q22" s="243">
        <v>650</v>
      </c>
      <c r="R22" s="243">
        <f>SUM(R23)</f>
        <v>250000</v>
      </c>
      <c r="S22" s="243">
        <v>650</v>
      </c>
      <c r="T22" s="243">
        <f>SUM(T23)</f>
        <v>275000</v>
      </c>
      <c r="U22" s="243">
        <v>650</v>
      </c>
      <c r="V22" s="243">
        <f>SUM(V23)</f>
        <v>275000</v>
      </c>
      <c r="W22" s="240">
        <v>3250</v>
      </c>
      <c r="X22" s="241"/>
      <c r="Y22" s="185" t="s">
        <v>2338</v>
      </c>
    </row>
    <row r="23" spans="2:25" ht="102" x14ac:dyDescent="0.25">
      <c r="B23" s="1998"/>
      <c r="C23" s="12"/>
      <c r="D23" s="12"/>
      <c r="E23" s="12"/>
      <c r="F23" s="12"/>
      <c r="G23" s="30" t="s">
        <v>2358</v>
      </c>
      <c r="H23" s="30" t="s">
        <v>2359</v>
      </c>
      <c r="I23" s="32" t="s">
        <v>100</v>
      </c>
      <c r="J23" s="43"/>
      <c r="K23" s="34">
        <v>650</v>
      </c>
      <c r="L23" s="35">
        <v>350000</v>
      </c>
      <c r="M23" s="34">
        <v>650</v>
      </c>
      <c r="N23" s="35">
        <v>350000</v>
      </c>
      <c r="O23" s="34">
        <v>650</v>
      </c>
      <c r="P23" s="35">
        <v>225000</v>
      </c>
      <c r="Q23" s="34">
        <v>650</v>
      </c>
      <c r="R23" s="35">
        <v>250000</v>
      </c>
      <c r="S23" s="34">
        <v>650</v>
      </c>
      <c r="T23" s="35">
        <v>275000</v>
      </c>
      <c r="U23" s="34">
        <v>650</v>
      </c>
      <c r="V23" s="35">
        <v>275000</v>
      </c>
      <c r="W23" s="238"/>
      <c r="X23" s="239"/>
      <c r="Y23" s="185" t="s">
        <v>2338</v>
      </c>
    </row>
    <row r="24" spans="2:25" ht="60" x14ac:dyDescent="0.25">
      <c r="B24" s="1998"/>
      <c r="C24" s="12"/>
      <c r="D24" s="12"/>
      <c r="E24" s="12"/>
      <c r="F24" s="45"/>
      <c r="G24" s="38" t="s">
        <v>1470</v>
      </c>
      <c r="H24" s="39" t="s">
        <v>1471</v>
      </c>
      <c r="I24" s="40" t="s">
        <v>100</v>
      </c>
      <c r="J24" s="235">
        <v>32</v>
      </c>
      <c r="K24" s="42">
        <v>84</v>
      </c>
      <c r="L24" s="243">
        <f>SUM(L25)</f>
        <v>200000</v>
      </c>
      <c r="M24" s="42">
        <v>84</v>
      </c>
      <c r="N24" s="243">
        <f>SUM(N25)</f>
        <v>200000</v>
      </c>
      <c r="O24" s="42">
        <v>65</v>
      </c>
      <c r="P24" s="243">
        <f>SUM(P25)</f>
        <v>100000</v>
      </c>
      <c r="Q24" s="42">
        <v>70</v>
      </c>
      <c r="R24" s="243">
        <f>SUM(R25)</f>
        <v>125000</v>
      </c>
      <c r="S24" s="42">
        <v>75</v>
      </c>
      <c r="T24" s="243">
        <f>SUM(T25)</f>
        <v>150000</v>
      </c>
      <c r="U24" s="42">
        <v>75</v>
      </c>
      <c r="V24" s="243">
        <f>SUM(V25)</f>
        <v>150000</v>
      </c>
      <c r="W24" s="240">
        <v>294</v>
      </c>
      <c r="X24" s="241"/>
      <c r="Y24" s="185" t="s">
        <v>2338</v>
      </c>
    </row>
    <row r="25" spans="2:25" ht="38.25" x14ac:dyDescent="0.25">
      <c r="B25" s="1998"/>
      <c r="C25" s="12"/>
      <c r="D25" s="12"/>
      <c r="E25" s="12"/>
      <c r="F25" s="12"/>
      <c r="G25" s="30" t="s">
        <v>2360</v>
      </c>
      <c r="H25" s="30" t="s">
        <v>2361</v>
      </c>
      <c r="I25" s="32" t="s">
        <v>100</v>
      </c>
      <c r="J25" s="43"/>
      <c r="K25" s="34">
        <v>84</v>
      </c>
      <c r="L25" s="35">
        <v>200000</v>
      </c>
      <c r="M25" s="34">
        <v>84</v>
      </c>
      <c r="N25" s="35">
        <v>200000</v>
      </c>
      <c r="O25" s="34">
        <v>65</v>
      </c>
      <c r="P25" s="35">
        <v>100000</v>
      </c>
      <c r="Q25" s="34">
        <v>70</v>
      </c>
      <c r="R25" s="35">
        <v>125000</v>
      </c>
      <c r="S25" s="34">
        <v>75</v>
      </c>
      <c r="T25" s="35">
        <v>150000</v>
      </c>
      <c r="U25" s="34">
        <v>75</v>
      </c>
      <c r="V25" s="35">
        <v>150000</v>
      </c>
      <c r="W25" s="238"/>
      <c r="X25" s="239"/>
      <c r="Y25" s="185" t="s">
        <v>2338</v>
      </c>
    </row>
    <row r="26" spans="2:25" ht="60" x14ac:dyDescent="0.25">
      <c r="B26" s="1998"/>
      <c r="C26" s="12"/>
      <c r="D26" s="12"/>
      <c r="E26" s="12"/>
      <c r="F26" s="45"/>
      <c r="G26" s="38" t="s">
        <v>1472</v>
      </c>
      <c r="H26" s="39" t="s">
        <v>1473</v>
      </c>
      <c r="I26" s="40" t="s">
        <v>100</v>
      </c>
      <c r="J26" s="235">
        <v>87</v>
      </c>
      <c r="K26" s="235">
        <v>166</v>
      </c>
      <c r="L26" s="243">
        <f>SUM(L27:L29)</f>
        <v>520000</v>
      </c>
      <c r="M26" s="243">
        <v>166</v>
      </c>
      <c r="N26" s="243">
        <f>SUM(N27:N29)</f>
        <v>530000</v>
      </c>
      <c r="O26" s="243">
        <v>112</v>
      </c>
      <c r="P26" s="243">
        <f>SUM(P27:P29)</f>
        <v>320000</v>
      </c>
      <c r="Q26" s="243">
        <v>117</v>
      </c>
      <c r="R26" s="243">
        <f>SUM(R27:R29)</f>
        <v>360000</v>
      </c>
      <c r="S26" s="243">
        <v>117</v>
      </c>
      <c r="T26" s="243">
        <f>SUM(T27:T29)</f>
        <v>400000</v>
      </c>
      <c r="U26" s="243">
        <v>117</v>
      </c>
      <c r="V26" s="243">
        <f>SUM(V27:V29)</f>
        <v>400000</v>
      </c>
      <c r="W26" s="240">
        <v>512</v>
      </c>
      <c r="X26" s="241"/>
      <c r="Y26" s="185" t="s">
        <v>2338</v>
      </c>
    </row>
    <row r="27" spans="2:25" ht="191.25" x14ac:dyDescent="0.25">
      <c r="B27" s="1998"/>
      <c r="C27" s="12"/>
      <c r="D27" s="12"/>
      <c r="E27" s="12"/>
      <c r="F27" s="12"/>
      <c r="G27" s="30" t="s">
        <v>2362</v>
      </c>
      <c r="H27" s="30" t="s">
        <v>2363</v>
      </c>
      <c r="I27" s="32" t="s">
        <v>100</v>
      </c>
      <c r="J27" s="43"/>
      <c r="K27" s="34">
        <v>20</v>
      </c>
      <c r="L27" s="35">
        <v>35000</v>
      </c>
      <c r="M27" s="34">
        <v>20</v>
      </c>
      <c r="N27" s="35">
        <v>40000</v>
      </c>
      <c r="O27" s="34">
        <v>25</v>
      </c>
      <c r="P27" s="35">
        <v>50000</v>
      </c>
      <c r="Q27" s="34">
        <v>30</v>
      </c>
      <c r="R27" s="35">
        <v>60000</v>
      </c>
      <c r="S27" s="34">
        <v>30</v>
      </c>
      <c r="T27" s="35">
        <v>70000</v>
      </c>
      <c r="U27" s="34">
        <v>30</v>
      </c>
      <c r="V27" s="35">
        <v>70000</v>
      </c>
      <c r="W27" s="238"/>
      <c r="X27" s="239"/>
      <c r="Y27" s="185" t="s">
        <v>2338</v>
      </c>
    </row>
    <row r="28" spans="2:25" ht="102" x14ac:dyDescent="0.25">
      <c r="B28" s="1998"/>
      <c r="C28" s="12"/>
      <c r="D28" s="12"/>
      <c r="E28" s="12"/>
      <c r="F28" s="12"/>
      <c r="G28" s="30" t="s">
        <v>2364</v>
      </c>
      <c r="H28" s="30" t="s">
        <v>2365</v>
      </c>
      <c r="I28" s="32" t="s">
        <v>100</v>
      </c>
      <c r="J28" s="33"/>
      <c r="K28" s="34">
        <v>35</v>
      </c>
      <c r="L28" s="35">
        <v>35000</v>
      </c>
      <c r="M28" s="34">
        <v>35</v>
      </c>
      <c r="N28" s="35">
        <v>40000</v>
      </c>
      <c r="O28" s="34">
        <v>35</v>
      </c>
      <c r="P28" s="35">
        <v>45000</v>
      </c>
      <c r="Q28" s="34">
        <v>35</v>
      </c>
      <c r="R28" s="35">
        <v>50000</v>
      </c>
      <c r="S28" s="34">
        <v>35</v>
      </c>
      <c r="T28" s="35">
        <v>55000</v>
      </c>
      <c r="U28" s="34">
        <v>35</v>
      </c>
      <c r="V28" s="35">
        <v>55000</v>
      </c>
      <c r="W28" s="238"/>
      <c r="X28" s="239"/>
      <c r="Y28" s="185" t="s">
        <v>2338</v>
      </c>
    </row>
    <row r="29" spans="2:25" ht="140.25" x14ac:dyDescent="0.25">
      <c r="B29" s="1998"/>
      <c r="C29" s="12"/>
      <c r="D29" s="12"/>
      <c r="E29" s="12"/>
      <c r="F29" s="12"/>
      <c r="G29" s="30" t="s">
        <v>2366</v>
      </c>
      <c r="H29" s="30" t="s">
        <v>2367</v>
      </c>
      <c r="I29" s="32" t="s">
        <v>100</v>
      </c>
      <c r="J29" s="33"/>
      <c r="K29" s="34">
        <v>111</v>
      </c>
      <c r="L29" s="35">
        <v>450000</v>
      </c>
      <c r="M29" s="34">
        <v>0</v>
      </c>
      <c r="N29" s="35">
        <v>450000</v>
      </c>
      <c r="O29" s="34">
        <v>52</v>
      </c>
      <c r="P29" s="35">
        <v>225000</v>
      </c>
      <c r="Q29" s="34">
        <v>52</v>
      </c>
      <c r="R29" s="35">
        <v>250000</v>
      </c>
      <c r="S29" s="34">
        <v>52</v>
      </c>
      <c r="T29" s="35">
        <v>275000</v>
      </c>
      <c r="U29" s="34">
        <v>52</v>
      </c>
      <c r="V29" s="35">
        <v>275000</v>
      </c>
      <c r="W29" s="238"/>
      <c r="X29" s="239"/>
      <c r="Y29" s="185" t="s">
        <v>2338</v>
      </c>
    </row>
    <row r="30" spans="2:25" ht="120" x14ac:dyDescent="0.25">
      <c r="B30" s="1998"/>
      <c r="C30" s="12"/>
      <c r="D30" s="12"/>
      <c r="E30" s="12"/>
      <c r="F30" s="45"/>
      <c r="G30" s="38" t="s">
        <v>1482</v>
      </c>
      <c r="H30" s="39" t="s">
        <v>1481</v>
      </c>
      <c r="I30" s="40" t="s">
        <v>1483</v>
      </c>
      <c r="J30" s="235">
        <v>10</v>
      </c>
      <c r="K30" s="240">
        <v>10</v>
      </c>
      <c r="L30" s="240">
        <f>SUM(L31)</f>
        <v>175000</v>
      </c>
      <c r="M30" s="240">
        <v>10</v>
      </c>
      <c r="N30" s="240">
        <f>SUM(N31)</f>
        <v>225000</v>
      </c>
      <c r="O30" s="240">
        <v>10</v>
      </c>
      <c r="P30" s="240">
        <f>SUM(P31)</f>
        <v>250000</v>
      </c>
      <c r="Q30" s="240">
        <v>10</v>
      </c>
      <c r="R30" s="240">
        <f>SUM(R31)</f>
        <v>275000</v>
      </c>
      <c r="S30" s="240">
        <v>10</v>
      </c>
      <c r="T30" s="240">
        <f>SUM(T31)</f>
        <v>300000</v>
      </c>
      <c r="U30" s="240">
        <v>10</v>
      </c>
      <c r="V30" s="240">
        <f>SUM(V31)</f>
        <v>300000</v>
      </c>
      <c r="W30" s="240">
        <v>50</v>
      </c>
      <c r="X30" s="241"/>
      <c r="Y30" s="185" t="s">
        <v>2338</v>
      </c>
    </row>
    <row r="31" spans="2:25" ht="51" x14ac:dyDescent="0.25">
      <c r="B31" s="1998"/>
      <c r="C31" s="13"/>
      <c r="D31" s="13"/>
      <c r="E31" s="13"/>
      <c r="F31" s="13"/>
      <c r="G31" s="30" t="s">
        <v>2412</v>
      </c>
      <c r="H31" s="184" t="s">
        <v>2413</v>
      </c>
      <c r="I31" s="32" t="s">
        <v>1483</v>
      </c>
      <c r="J31" s="43"/>
      <c r="K31" s="238">
        <v>10</v>
      </c>
      <c r="L31" s="35">
        <v>175000</v>
      </c>
      <c r="M31" s="238">
        <v>10</v>
      </c>
      <c r="N31" s="35">
        <v>225000</v>
      </c>
      <c r="O31" s="238">
        <v>10</v>
      </c>
      <c r="P31" s="35">
        <v>250000</v>
      </c>
      <c r="Q31" s="238">
        <v>10</v>
      </c>
      <c r="R31" s="35">
        <v>275000</v>
      </c>
      <c r="S31" s="238">
        <v>10</v>
      </c>
      <c r="T31" s="35">
        <v>300000</v>
      </c>
      <c r="U31" s="238">
        <v>10</v>
      </c>
      <c r="V31" s="35">
        <v>300000</v>
      </c>
      <c r="W31" s="238"/>
      <c r="X31" s="239"/>
      <c r="Y31" s="185" t="s">
        <v>2338</v>
      </c>
    </row>
    <row r="32" spans="2:25" x14ac:dyDescent="0.25">
      <c r="B32" s="1998"/>
      <c r="C32" s="176"/>
      <c r="D32" s="176"/>
      <c r="E32" s="176"/>
      <c r="F32" s="12"/>
      <c r="G32" s="175"/>
      <c r="H32" s="11"/>
      <c r="I32" s="1806"/>
      <c r="J32" s="1808"/>
      <c r="K32" s="1809"/>
      <c r="L32" s="1810"/>
      <c r="M32" s="1809"/>
      <c r="N32" s="1810"/>
      <c r="O32" s="238"/>
      <c r="P32" s="35"/>
      <c r="Q32" s="238"/>
      <c r="R32" s="35"/>
      <c r="S32" s="238"/>
      <c r="T32" s="35"/>
      <c r="U32" s="238"/>
      <c r="V32" s="35"/>
      <c r="W32" s="244"/>
      <c r="X32" s="245"/>
      <c r="Y32" s="185"/>
    </row>
    <row r="33" spans="2:25" ht="84" customHeight="1" x14ac:dyDescent="0.25">
      <c r="B33" s="1998"/>
      <c r="C33" s="38" t="s">
        <v>1474</v>
      </c>
      <c r="D33" s="38" t="s">
        <v>4023</v>
      </c>
      <c r="E33" s="38" t="s">
        <v>1475</v>
      </c>
      <c r="F33" s="685" t="s">
        <v>4025</v>
      </c>
      <c r="G33" s="976" t="s">
        <v>4024</v>
      </c>
      <c r="H33" s="655"/>
      <c r="I33" s="1816"/>
      <c r="J33" s="1791">
        <v>18.210312467289725</v>
      </c>
      <c r="K33" s="1791">
        <v>19.720207501233233</v>
      </c>
      <c r="L33" s="655"/>
      <c r="M33" s="1791">
        <v>20.01918166435933</v>
      </c>
      <c r="N33" s="655"/>
      <c r="O33" s="1791">
        <v>20.551929976033463</v>
      </c>
      <c r="P33" s="190"/>
      <c r="Q33" s="1791">
        <v>21.087433664051687</v>
      </c>
      <c r="R33" s="190"/>
      <c r="S33" s="1807">
        <v>21.394708506383633</v>
      </c>
      <c r="T33" s="190"/>
      <c r="U33" s="1807">
        <v>21.588900350172374</v>
      </c>
      <c r="V33" s="190"/>
      <c r="W33" s="1807">
        <v>21.588900350172374</v>
      </c>
      <c r="X33" s="246"/>
      <c r="Y33" s="185" t="s">
        <v>2338</v>
      </c>
    </row>
    <row r="34" spans="2:25" ht="60" x14ac:dyDescent="0.25">
      <c r="B34" s="1998"/>
      <c r="C34" s="12"/>
      <c r="D34" s="12"/>
      <c r="E34" s="12"/>
      <c r="F34" s="45"/>
      <c r="G34" s="1811" t="s">
        <v>1476</v>
      </c>
      <c r="H34" s="1811" t="s">
        <v>1477</v>
      </c>
      <c r="I34" s="1812" t="s">
        <v>100</v>
      </c>
      <c r="J34" s="1813">
        <v>0</v>
      </c>
      <c r="K34" s="1814">
        <v>600</v>
      </c>
      <c r="L34" s="1815">
        <f>SUM(L35:L38)</f>
        <v>5000000</v>
      </c>
      <c r="M34" s="1814">
        <v>480</v>
      </c>
      <c r="N34" s="1815">
        <f>SUM(N35:N38)</f>
        <v>5311482</v>
      </c>
      <c r="O34" s="190">
        <v>534</v>
      </c>
      <c r="P34" s="243">
        <f>SUM(P35:P38)</f>
        <v>5470000</v>
      </c>
      <c r="Q34" s="190">
        <v>552</v>
      </c>
      <c r="R34" s="243">
        <f>SUM(R35:R38)</f>
        <v>7350000</v>
      </c>
      <c r="S34" s="190">
        <v>552</v>
      </c>
      <c r="T34" s="243">
        <f>SUM(T35:T38)</f>
        <v>11400000</v>
      </c>
      <c r="U34" s="190">
        <v>552</v>
      </c>
      <c r="V34" s="243">
        <f>SUM(V35:V38)</f>
        <v>11400000</v>
      </c>
      <c r="W34" s="240">
        <f>K34+M34+O34+Q34+S34+U34</f>
        <v>3270</v>
      </c>
      <c r="X34" s="239"/>
      <c r="Y34" s="185" t="s">
        <v>2338</v>
      </c>
    </row>
    <row r="35" spans="2:25" ht="63.75" x14ac:dyDescent="0.25">
      <c r="B35" s="1998"/>
      <c r="C35" s="12"/>
      <c r="D35" s="12"/>
      <c r="E35" s="12"/>
      <c r="F35" s="12"/>
      <c r="G35" s="2000" t="s">
        <v>2368</v>
      </c>
      <c r="H35" s="30" t="s">
        <v>2369</v>
      </c>
      <c r="I35" s="32" t="s">
        <v>100</v>
      </c>
      <c r="J35" s="33"/>
      <c r="K35" s="34">
        <v>18</v>
      </c>
      <c r="L35" s="35">
        <v>200000</v>
      </c>
      <c r="M35" s="34">
        <v>0</v>
      </c>
      <c r="N35" s="35">
        <v>135000</v>
      </c>
      <c r="O35" s="34">
        <v>54</v>
      </c>
      <c r="P35" s="35">
        <v>270000</v>
      </c>
      <c r="Q35" s="34">
        <v>72</v>
      </c>
      <c r="R35" s="35">
        <v>350000</v>
      </c>
      <c r="S35" s="34">
        <v>72</v>
      </c>
      <c r="T35" s="35">
        <v>400000</v>
      </c>
      <c r="U35" s="34">
        <v>72</v>
      </c>
      <c r="V35" s="35">
        <v>400000</v>
      </c>
      <c r="W35" s="238"/>
      <c r="X35" s="239"/>
      <c r="Y35" s="185" t="s">
        <v>2338</v>
      </c>
    </row>
    <row r="36" spans="2:25" ht="89.25" x14ac:dyDescent="0.25">
      <c r="B36" s="1998"/>
      <c r="C36" s="12"/>
      <c r="D36" s="12"/>
      <c r="E36" s="12"/>
      <c r="F36" s="12"/>
      <c r="G36" s="2000"/>
      <c r="H36" s="30" t="s">
        <v>2370</v>
      </c>
      <c r="I36" s="32" t="s">
        <v>2371</v>
      </c>
      <c r="J36" s="33"/>
      <c r="K36" s="34">
        <v>582</v>
      </c>
      <c r="L36" s="35">
        <v>0</v>
      </c>
      <c r="M36" s="34">
        <v>480</v>
      </c>
      <c r="N36" s="35">
        <v>0</v>
      </c>
      <c r="O36" s="34">
        <v>480</v>
      </c>
      <c r="P36" s="35">
        <v>0</v>
      </c>
      <c r="Q36" s="34">
        <v>480</v>
      </c>
      <c r="R36" s="35">
        <v>0</v>
      </c>
      <c r="S36" s="34">
        <v>480</v>
      </c>
      <c r="T36" s="35">
        <v>0</v>
      </c>
      <c r="U36" s="34">
        <v>480</v>
      </c>
      <c r="V36" s="35">
        <v>0</v>
      </c>
      <c r="W36" s="238"/>
      <c r="X36" s="239"/>
      <c r="Y36" s="185" t="s">
        <v>2338</v>
      </c>
    </row>
    <row r="37" spans="2:25" ht="63.75" x14ac:dyDescent="0.25">
      <c r="B37" s="1998"/>
      <c r="C37" s="12"/>
      <c r="D37" s="12"/>
      <c r="E37" s="12"/>
      <c r="F37" s="12"/>
      <c r="G37" s="30" t="s">
        <v>2372</v>
      </c>
      <c r="H37" s="30" t="s">
        <v>2373</v>
      </c>
      <c r="I37" s="32" t="s">
        <v>75</v>
      </c>
      <c r="J37" s="33"/>
      <c r="K37" s="34">
        <v>2</v>
      </c>
      <c r="L37" s="35">
        <v>4420000</v>
      </c>
      <c r="M37" s="34">
        <v>2</v>
      </c>
      <c r="N37" s="35">
        <v>4400000</v>
      </c>
      <c r="O37" s="34">
        <v>2</v>
      </c>
      <c r="P37" s="35">
        <v>4400000</v>
      </c>
      <c r="Q37" s="34">
        <v>1</v>
      </c>
      <c r="R37" s="35">
        <v>6000000</v>
      </c>
      <c r="S37" s="34">
        <v>1</v>
      </c>
      <c r="T37" s="35">
        <v>10000000</v>
      </c>
      <c r="U37" s="34">
        <v>1</v>
      </c>
      <c r="V37" s="35">
        <v>10000000</v>
      </c>
      <c r="W37" s="238"/>
      <c r="X37" s="239"/>
      <c r="Y37" s="185" t="s">
        <v>2338</v>
      </c>
    </row>
    <row r="38" spans="2:25" ht="63.75" x14ac:dyDescent="0.25">
      <c r="B38" s="1998"/>
      <c r="C38" s="12"/>
      <c r="D38" s="12"/>
      <c r="E38" s="12"/>
      <c r="F38" s="12"/>
      <c r="G38" s="30" t="s">
        <v>2374</v>
      </c>
      <c r="H38" s="30" t="s">
        <v>2375</v>
      </c>
      <c r="I38" s="32" t="s">
        <v>69</v>
      </c>
      <c r="J38" s="43"/>
      <c r="K38" s="34">
        <v>2</v>
      </c>
      <c r="L38" s="35">
        <v>380000</v>
      </c>
      <c r="M38" s="34">
        <v>3</v>
      </c>
      <c r="N38" s="35">
        <v>776482</v>
      </c>
      <c r="O38" s="34">
        <v>3</v>
      </c>
      <c r="P38" s="35">
        <v>800000</v>
      </c>
      <c r="Q38" s="34">
        <v>5</v>
      </c>
      <c r="R38" s="35">
        <v>1000000</v>
      </c>
      <c r="S38" s="34">
        <v>5</v>
      </c>
      <c r="T38" s="35">
        <v>1000000</v>
      </c>
      <c r="U38" s="34">
        <v>5</v>
      </c>
      <c r="V38" s="35">
        <v>1000000</v>
      </c>
      <c r="W38" s="238"/>
      <c r="X38" s="239"/>
      <c r="Y38" s="185" t="s">
        <v>2338</v>
      </c>
    </row>
    <row r="39" spans="2:25" s="246" customFormat="1" ht="72.75" thickBot="1" x14ac:dyDescent="0.25">
      <c r="B39" s="1998"/>
      <c r="C39" s="12"/>
      <c r="D39" s="12"/>
      <c r="E39" s="12"/>
      <c r="F39" s="45"/>
      <c r="G39" s="183" t="s">
        <v>1478</v>
      </c>
      <c r="H39" s="247" t="s">
        <v>3218</v>
      </c>
      <c r="I39" s="40" t="s">
        <v>19</v>
      </c>
      <c r="J39" s="188">
        <v>22.853481418197351</v>
      </c>
      <c r="K39" s="188">
        <v>23.049645390070921</v>
      </c>
      <c r="L39" s="248">
        <f>SUM(L40:L54)</f>
        <v>1485000</v>
      </c>
      <c r="M39" s="188">
        <v>23.239436619718308</v>
      </c>
      <c r="N39" s="248">
        <f>SUM(N40:N54)</f>
        <v>1920000</v>
      </c>
      <c r="O39" s="188">
        <v>23.426573426573427</v>
      </c>
      <c r="P39" s="248">
        <f>SUM(P40:P54)</f>
        <v>2550000</v>
      </c>
      <c r="Q39" s="188">
        <v>23.611111111111111</v>
      </c>
      <c r="R39" s="248">
        <f>SUM(R40:R54)</f>
        <v>2845000</v>
      </c>
      <c r="S39" s="188">
        <v>23.827586206896552</v>
      </c>
      <c r="T39" s="248">
        <f>SUM(T40:T54)</f>
        <v>3075000</v>
      </c>
      <c r="U39" s="188">
        <v>24.006849315068493</v>
      </c>
      <c r="V39" s="248">
        <f>SUM(V40:V54)</f>
        <v>3075000</v>
      </c>
      <c r="W39" s="249">
        <v>24.006849315068493</v>
      </c>
      <c r="X39" s="241"/>
      <c r="Y39" s="182" t="s">
        <v>2338</v>
      </c>
    </row>
    <row r="40" spans="2:25" ht="90" thickTop="1" x14ac:dyDescent="0.25">
      <c r="B40" s="1998"/>
      <c r="C40" s="12"/>
      <c r="D40" s="12"/>
      <c r="E40" s="12"/>
      <c r="F40" s="12"/>
      <c r="G40" s="11" t="s">
        <v>2376</v>
      </c>
      <c r="H40" s="30" t="s">
        <v>2377</v>
      </c>
      <c r="I40" s="32" t="s">
        <v>100</v>
      </c>
      <c r="J40" s="35"/>
      <c r="K40" s="250">
        <v>2100</v>
      </c>
      <c r="L40" s="36">
        <v>265000</v>
      </c>
      <c r="M40" s="250">
        <v>2200</v>
      </c>
      <c r="N40" s="36">
        <v>285000</v>
      </c>
      <c r="O40" s="250">
        <v>2300</v>
      </c>
      <c r="P40" s="36">
        <v>300000</v>
      </c>
      <c r="Q40" s="250">
        <v>2400</v>
      </c>
      <c r="R40" s="36">
        <v>325000</v>
      </c>
      <c r="S40" s="250">
        <v>2500</v>
      </c>
      <c r="T40" s="36">
        <v>350000</v>
      </c>
      <c r="U40" s="250">
        <v>2600</v>
      </c>
      <c r="V40" s="36">
        <v>350000</v>
      </c>
      <c r="W40" s="238"/>
      <c r="X40" s="239"/>
      <c r="Y40" s="185" t="s">
        <v>2338</v>
      </c>
    </row>
    <row r="41" spans="2:25" ht="51" x14ac:dyDescent="0.25">
      <c r="B41" s="1998"/>
      <c r="C41" s="12"/>
      <c r="D41" s="12"/>
      <c r="E41" s="12"/>
      <c r="F41" s="12"/>
      <c r="G41" s="12"/>
      <c r="H41" s="30" t="s">
        <v>2378</v>
      </c>
      <c r="I41" s="32" t="s">
        <v>103</v>
      </c>
      <c r="J41" s="33"/>
      <c r="K41" s="250">
        <v>1</v>
      </c>
      <c r="L41" s="44">
        <v>0</v>
      </c>
      <c r="M41" s="34">
        <v>1</v>
      </c>
      <c r="N41" s="44">
        <v>0</v>
      </c>
      <c r="O41" s="34">
        <v>1</v>
      </c>
      <c r="P41" s="44">
        <v>0</v>
      </c>
      <c r="Q41" s="34">
        <v>1</v>
      </c>
      <c r="R41" s="44">
        <v>0</v>
      </c>
      <c r="S41" s="34">
        <v>1</v>
      </c>
      <c r="T41" s="44">
        <v>0</v>
      </c>
      <c r="U41" s="34">
        <v>1</v>
      </c>
      <c r="V41" s="44">
        <v>0</v>
      </c>
      <c r="W41" s="238"/>
      <c r="X41" s="239"/>
      <c r="Y41" s="185" t="s">
        <v>2338</v>
      </c>
    </row>
    <row r="42" spans="2:25" ht="51" x14ac:dyDescent="0.25">
      <c r="B42" s="1998"/>
      <c r="C42" s="12"/>
      <c r="D42" s="12"/>
      <c r="E42" s="12"/>
      <c r="F42" s="12"/>
      <c r="G42" s="12"/>
      <c r="H42" s="30" t="s">
        <v>2379</v>
      </c>
      <c r="I42" s="32" t="s">
        <v>103</v>
      </c>
      <c r="J42" s="33"/>
      <c r="K42" s="250">
        <v>6</v>
      </c>
      <c r="L42" s="44">
        <v>0</v>
      </c>
      <c r="M42" s="34">
        <v>6</v>
      </c>
      <c r="N42" s="44">
        <v>0</v>
      </c>
      <c r="O42" s="34">
        <v>6</v>
      </c>
      <c r="P42" s="44">
        <v>0</v>
      </c>
      <c r="Q42" s="34">
        <v>6</v>
      </c>
      <c r="R42" s="44">
        <v>0</v>
      </c>
      <c r="S42" s="34">
        <v>6</v>
      </c>
      <c r="T42" s="44">
        <v>0</v>
      </c>
      <c r="U42" s="34">
        <v>6</v>
      </c>
      <c r="V42" s="44">
        <v>0</v>
      </c>
      <c r="W42" s="238"/>
      <c r="X42" s="239"/>
      <c r="Y42" s="185" t="s">
        <v>2338</v>
      </c>
    </row>
    <row r="43" spans="2:25" ht="38.25" x14ac:dyDescent="0.25">
      <c r="B43" s="1998"/>
      <c r="C43" s="12"/>
      <c r="D43" s="12"/>
      <c r="E43" s="12"/>
      <c r="F43" s="12"/>
      <c r="G43" s="13"/>
      <c r="H43" s="30" t="s">
        <v>2380</v>
      </c>
      <c r="I43" s="32" t="s">
        <v>103</v>
      </c>
      <c r="J43" s="33"/>
      <c r="K43" s="250">
        <v>1</v>
      </c>
      <c r="L43" s="37">
        <v>0</v>
      </c>
      <c r="M43" s="250">
        <v>6</v>
      </c>
      <c r="N43" s="37">
        <v>0</v>
      </c>
      <c r="O43" s="34">
        <v>6</v>
      </c>
      <c r="P43" s="37">
        <v>0</v>
      </c>
      <c r="Q43" s="34">
        <v>6</v>
      </c>
      <c r="R43" s="37">
        <v>0</v>
      </c>
      <c r="S43" s="34">
        <v>6</v>
      </c>
      <c r="T43" s="37">
        <v>0</v>
      </c>
      <c r="U43" s="34">
        <v>6</v>
      </c>
      <c r="V43" s="37">
        <v>0</v>
      </c>
      <c r="W43" s="238"/>
      <c r="X43" s="239"/>
      <c r="Y43" s="185" t="s">
        <v>2338</v>
      </c>
    </row>
    <row r="44" spans="2:25" ht="63.75" x14ac:dyDescent="0.25">
      <c r="B44" s="1998"/>
      <c r="C44" s="12"/>
      <c r="D44" s="12"/>
      <c r="E44" s="12"/>
      <c r="F44" s="12"/>
      <c r="G44" s="30" t="s">
        <v>2381</v>
      </c>
      <c r="H44" s="30" t="s">
        <v>2382</v>
      </c>
      <c r="I44" s="32" t="s">
        <v>100</v>
      </c>
      <c r="J44" s="33"/>
      <c r="K44" s="34">
        <v>750</v>
      </c>
      <c r="L44" s="35">
        <v>145000</v>
      </c>
      <c r="M44" s="34">
        <v>750</v>
      </c>
      <c r="N44" s="35">
        <v>170000</v>
      </c>
      <c r="O44" s="34">
        <v>850</v>
      </c>
      <c r="P44" s="35">
        <v>200000</v>
      </c>
      <c r="Q44" s="34">
        <v>950</v>
      </c>
      <c r="R44" s="35">
        <v>230000</v>
      </c>
      <c r="S44" s="34">
        <v>1000</v>
      </c>
      <c r="T44" s="35">
        <v>260000</v>
      </c>
      <c r="U44" s="34">
        <v>1000</v>
      </c>
      <c r="V44" s="35">
        <v>260000</v>
      </c>
      <c r="W44" s="238"/>
      <c r="X44" s="239"/>
      <c r="Y44" s="185" t="s">
        <v>2338</v>
      </c>
    </row>
    <row r="45" spans="2:25" ht="76.5" x14ac:dyDescent="0.25">
      <c r="B45" s="1998"/>
      <c r="C45" s="12"/>
      <c r="D45" s="12"/>
      <c r="E45" s="12"/>
      <c r="F45" s="12"/>
      <c r="G45" s="30"/>
      <c r="H45" s="30" t="s">
        <v>2383</v>
      </c>
      <c r="I45" s="32" t="s">
        <v>100</v>
      </c>
      <c r="J45" s="35"/>
      <c r="K45" s="34">
        <v>1250</v>
      </c>
      <c r="L45" s="35">
        <v>0</v>
      </c>
      <c r="M45" s="34">
        <v>1275</v>
      </c>
      <c r="N45" s="35">
        <v>0</v>
      </c>
      <c r="O45" s="34">
        <v>1300</v>
      </c>
      <c r="P45" s="35">
        <v>0</v>
      </c>
      <c r="Q45" s="34">
        <v>1325</v>
      </c>
      <c r="R45" s="35">
        <v>0</v>
      </c>
      <c r="S45" s="34">
        <v>1350</v>
      </c>
      <c r="T45" s="35">
        <v>0</v>
      </c>
      <c r="U45" s="34">
        <v>1375</v>
      </c>
      <c r="V45" s="35">
        <v>0</v>
      </c>
      <c r="W45" s="238"/>
      <c r="X45" s="239"/>
      <c r="Y45" s="185" t="s">
        <v>2338</v>
      </c>
    </row>
    <row r="46" spans="2:25" ht="25.5" x14ac:dyDescent="0.25">
      <c r="B46" s="1998"/>
      <c r="C46" s="12"/>
      <c r="D46" s="12"/>
      <c r="E46" s="12"/>
      <c r="F46" s="12"/>
      <c r="G46" s="30" t="s">
        <v>2384</v>
      </c>
      <c r="H46" s="30" t="s">
        <v>2385</v>
      </c>
      <c r="I46" s="32" t="s">
        <v>100</v>
      </c>
      <c r="J46" s="33"/>
      <c r="K46" s="34">
        <v>180</v>
      </c>
      <c r="L46" s="35">
        <v>100000</v>
      </c>
      <c r="M46" s="242">
        <v>200</v>
      </c>
      <c r="N46" s="35">
        <v>150000</v>
      </c>
      <c r="O46" s="242">
        <v>200</v>
      </c>
      <c r="P46" s="35">
        <v>175000</v>
      </c>
      <c r="Q46" s="242">
        <v>200</v>
      </c>
      <c r="R46" s="35">
        <v>175000</v>
      </c>
      <c r="S46" s="242">
        <v>220</v>
      </c>
      <c r="T46" s="35">
        <v>200000</v>
      </c>
      <c r="U46" s="242">
        <v>220</v>
      </c>
      <c r="V46" s="35">
        <v>200000</v>
      </c>
      <c r="W46" s="238"/>
      <c r="X46" s="239"/>
      <c r="Y46" s="185" t="s">
        <v>2338</v>
      </c>
    </row>
    <row r="47" spans="2:25" ht="51" x14ac:dyDescent="0.25">
      <c r="B47" s="1998"/>
      <c r="C47" s="12"/>
      <c r="D47" s="12"/>
      <c r="E47" s="12"/>
      <c r="F47" s="12"/>
      <c r="G47" s="30" t="s">
        <v>2386</v>
      </c>
      <c r="H47" s="30" t="s">
        <v>2387</v>
      </c>
      <c r="I47" s="32" t="s">
        <v>100</v>
      </c>
      <c r="J47" s="43"/>
      <c r="K47" s="34">
        <v>240</v>
      </c>
      <c r="L47" s="35">
        <v>300000</v>
      </c>
      <c r="M47" s="238">
        <v>360</v>
      </c>
      <c r="N47" s="35">
        <v>400000</v>
      </c>
      <c r="O47" s="238">
        <v>420</v>
      </c>
      <c r="P47" s="35">
        <v>550000</v>
      </c>
      <c r="Q47" s="238">
        <v>420</v>
      </c>
      <c r="R47" s="35">
        <v>600000</v>
      </c>
      <c r="S47" s="238">
        <v>420</v>
      </c>
      <c r="T47" s="35">
        <v>600000</v>
      </c>
      <c r="U47" s="238">
        <v>420</v>
      </c>
      <c r="V47" s="35">
        <v>600000</v>
      </c>
      <c r="W47" s="238"/>
      <c r="X47" s="239"/>
      <c r="Y47" s="185" t="s">
        <v>2338</v>
      </c>
    </row>
    <row r="48" spans="2:25" ht="51" x14ac:dyDescent="0.25">
      <c r="B48" s="1998"/>
      <c r="C48" s="12"/>
      <c r="D48" s="12"/>
      <c r="E48" s="12"/>
      <c r="F48" s="12"/>
      <c r="G48" s="2000" t="s">
        <v>2388</v>
      </c>
      <c r="H48" s="30" t="s">
        <v>2389</v>
      </c>
      <c r="I48" s="32" t="s">
        <v>100</v>
      </c>
      <c r="J48" s="43"/>
      <c r="K48" s="34">
        <v>40</v>
      </c>
      <c r="L48" s="36">
        <v>75000</v>
      </c>
      <c r="M48" s="34">
        <v>40</v>
      </c>
      <c r="N48" s="36">
        <v>130000</v>
      </c>
      <c r="O48" s="34">
        <v>40</v>
      </c>
      <c r="P48" s="36">
        <v>150000</v>
      </c>
      <c r="Q48" s="34">
        <v>40</v>
      </c>
      <c r="R48" s="36">
        <v>170000</v>
      </c>
      <c r="S48" s="34">
        <v>40</v>
      </c>
      <c r="T48" s="36">
        <v>170000</v>
      </c>
      <c r="U48" s="34">
        <v>40</v>
      </c>
      <c r="V48" s="36">
        <v>170000</v>
      </c>
      <c r="W48" s="238"/>
      <c r="X48" s="239"/>
      <c r="Y48" s="185" t="s">
        <v>2338</v>
      </c>
    </row>
    <row r="49" spans="2:25" ht="51" x14ac:dyDescent="0.25">
      <c r="B49" s="1998"/>
      <c r="C49" s="12"/>
      <c r="D49" s="12"/>
      <c r="E49" s="12"/>
      <c r="F49" s="12"/>
      <c r="G49" s="2000"/>
      <c r="H49" s="30" t="s">
        <v>2390</v>
      </c>
      <c r="I49" s="32" t="s">
        <v>100</v>
      </c>
      <c r="J49" s="43"/>
      <c r="K49" s="34">
        <v>20</v>
      </c>
      <c r="L49" s="44">
        <v>0</v>
      </c>
      <c r="M49" s="34">
        <v>20</v>
      </c>
      <c r="N49" s="44">
        <v>0</v>
      </c>
      <c r="O49" s="34">
        <v>20</v>
      </c>
      <c r="P49" s="44">
        <v>0</v>
      </c>
      <c r="Q49" s="34">
        <v>20</v>
      </c>
      <c r="R49" s="44">
        <v>0</v>
      </c>
      <c r="S49" s="34">
        <v>20</v>
      </c>
      <c r="T49" s="44">
        <v>0</v>
      </c>
      <c r="U49" s="34">
        <v>20</v>
      </c>
      <c r="V49" s="44">
        <v>0</v>
      </c>
      <c r="W49" s="238"/>
      <c r="X49" s="239"/>
      <c r="Y49" s="185" t="s">
        <v>2338</v>
      </c>
    </row>
    <row r="50" spans="2:25" ht="38.25" x14ac:dyDescent="0.25">
      <c r="B50" s="1998"/>
      <c r="C50" s="12"/>
      <c r="D50" s="12"/>
      <c r="E50" s="12"/>
      <c r="F50" s="12"/>
      <c r="G50" s="2000"/>
      <c r="H50" s="30" t="s">
        <v>2391</v>
      </c>
      <c r="I50" s="32" t="s">
        <v>100</v>
      </c>
      <c r="J50" s="43"/>
      <c r="K50" s="34">
        <v>20</v>
      </c>
      <c r="L50" s="37">
        <v>0</v>
      </c>
      <c r="M50" s="34">
        <v>20</v>
      </c>
      <c r="N50" s="37">
        <v>0</v>
      </c>
      <c r="O50" s="34">
        <v>20</v>
      </c>
      <c r="P50" s="37">
        <v>0</v>
      </c>
      <c r="Q50" s="34">
        <v>20</v>
      </c>
      <c r="R50" s="37">
        <v>0</v>
      </c>
      <c r="S50" s="34">
        <v>20</v>
      </c>
      <c r="T50" s="37">
        <v>0</v>
      </c>
      <c r="U50" s="34">
        <v>20</v>
      </c>
      <c r="V50" s="37">
        <v>0</v>
      </c>
      <c r="W50" s="238"/>
      <c r="X50" s="239"/>
      <c r="Y50" s="185" t="s">
        <v>2338</v>
      </c>
    </row>
    <row r="51" spans="2:25" ht="51" x14ac:dyDescent="0.25">
      <c r="B51" s="1998"/>
      <c r="C51" s="12"/>
      <c r="D51" s="12"/>
      <c r="E51" s="12"/>
      <c r="F51" s="12"/>
      <c r="G51" s="30" t="s">
        <v>2392</v>
      </c>
      <c r="H51" s="30" t="s">
        <v>2393</v>
      </c>
      <c r="I51" s="32" t="s">
        <v>100</v>
      </c>
      <c r="J51" s="43"/>
      <c r="K51" s="34">
        <v>50</v>
      </c>
      <c r="L51" s="35">
        <v>100000</v>
      </c>
      <c r="M51" s="34">
        <v>120</v>
      </c>
      <c r="N51" s="35">
        <v>120000</v>
      </c>
      <c r="O51" s="34">
        <v>140</v>
      </c>
      <c r="P51" s="35">
        <v>150000</v>
      </c>
      <c r="Q51" s="34">
        <v>120</v>
      </c>
      <c r="R51" s="35">
        <v>200000</v>
      </c>
      <c r="S51" s="34">
        <v>180</v>
      </c>
      <c r="T51" s="35">
        <v>220000</v>
      </c>
      <c r="U51" s="34">
        <v>180</v>
      </c>
      <c r="V51" s="35">
        <v>220000</v>
      </c>
      <c r="W51" s="238"/>
      <c r="X51" s="239"/>
      <c r="Y51" s="185" t="s">
        <v>2338</v>
      </c>
    </row>
    <row r="52" spans="2:25" ht="25.5" x14ac:dyDescent="0.25">
      <c r="B52" s="1998"/>
      <c r="C52" s="12"/>
      <c r="D52" s="12"/>
      <c r="E52" s="12"/>
      <c r="F52" s="12"/>
      <c r="G52" s="30" t="s">
        <v>2394</v>
      </c>
      <c r="H52" s="30" t="s">
        <v>2395</v>
      </c>
      <c r="I52" s="32" t="s">
        <v>100</v>
      </c>
      <c r="J52" s="43"/>
      <c r="K52" s="34">
        <v>60</v>
      </c>
      <c r="L52" s="35">
        <v>450000</v>
      </c>
      <c r="M52" s="34">
        <v>60</v>
      </c>
      <c r="N52" s="35">
        <v>500000</v>
      </c>
      <c r="O52" s="34">
        <v>80</v>
      </c>
      <c r="P52" s="35">
        <v>825000</v>
      </c>
      <c r="Q52" s="34">
        <v>80</v>
      </c>
      <c r="R52" s="35">
        <v>900000</v>
      </c>
      <c r="S52" s="34">
        <v>80</v>
      </c>
      <c r="T52" s="35">
        <v>975000</v>
      </c>
      <c r="U52" s="34">
        <v>80</v>
      </c>
      <c r="V52" s="35">
        <v>975000</v>
      </c>
      <c r="W52" s="238"/>
      <c r="X52" s="239"/>
      <c r="Y52" s="185" t="s">
        <v>2338</v>
      </c>
    </row>
    <row r="53" spans="2:25" ht="38.25" x14ac:dyDescent="0.25">
      <c r="B53" s="1998"/>
      <c r="C53" s="12"/>
      <c r="D53" s="12"/>
      <c r="E53" s="12"/>
      <c r="F53" s="12"/>
      <c r="G53" s="2000" t="s">
        <v>2396</v>
      </c>
      <c r="H53" s="30" t="s">
        <v>2397</v>
      </c>
      <c r="I53" s="32" t="s">
        <v>100</v>
      </c>
      <c r="J53" s="43"/>
      <c r="K53" s="34">
        <v>10</v>
      </c>
      <c r="L53" s="36">
        <v>50000</v>
      </c>
      <c r="M53" s="34">
        <v>30</v>
      </c>
      <c r="N53" s="36">
        <v>165000</v>
      </c>
      <c r="O53" s="34">
        <v>30</v>
      </c>
      <c r="P53" s="36">
        <v>200000</v>
      </c>
      <c r="Q53" s="34">
        <v>30</v>
      </c>
      <c r="R53" s="36">
        <v>245000</v>
      </c>
      <c r="S53" s="34">
        <v>30</v>
      </c>
      <c r="T53" s="36">
        <v>300000</v>
      </c>
      <c r="U53" s="34">
        <v>30</v>
      </c>
      <c r="V53" s="36">
        <v>300000</v>
      </c>
      <c r="W53" s="238"/>
      <c r="X53" s="239"/>
      <c r="Y53" s="185" t="s">
        <v>2338</v>
      </c>
    </row>
    <row r="54" spans="2:25" ht="25.5" x14ac:dyDescent="0.25">
      <c r="B54" s="1998"/>
      <c r="C54" s="12"/>
      <c r="D54" s="12"/>
      <c r="E54" s="12"/>
      <c r="F54" s="12"/>
      <c r="G54" s="2000"/>
      <c r="H54" s="30" t="s">
        <v>2398</v>
      </c>
      <c r="I54" s="32" t="s">
        <v>79</v>
      </c>
      <c r="J54" s="251"/>
      <c r="K54" s="242">
        <v>1</v>
      </c>
      <c r="L54" s="37">
        <v>0</v>
      </c>
      <c r="M54" s="242">
        <v>1</v>
      </c>
      <c r="N54" s="37">
        <v>0</v>
      </c>
      <c r="O54" s="242">
        <v>1</v>
      </c>
      <c r="P54" s="37">
        <v>0</v>
      </c>
      <c r="Q54" s="242">
        <v>1</v>
      </c>
      <c r="R54" s="37">
        <v>0</v>
      </c>
      <c r="S54" s="242">
        <v>1</v>
      </c>
      <c r="T54" s="37">
        <v>0</v>
      </c>
      <c r="U54" s="242">
        <v>1</v>
      </c>
      <c r="V54" s="37">
        <v>0</v>
      </c>
      <c r="W54" s="238"/>
      <c r="X54" s="239"/>
      <c r="Y54" s="185" t="s">
        <v>2338</v>
      </c>
    </row>
    <row r="55" spans="2:25" ht="168" x14ac:dyDescent="0.25">
      <c r="B55" s="1998"/>
      <c r="C55" s="12"/>
      <c r="D55" s="12"/>
      <c r="E55" s="12"/>
      <c r="F55" s="45"/>
      <c r="G55" s="39" t="s">
        <v>1480</v>
      </c>
      <c r="H55" s="38" t="s">
        <v>1479</v>
      </c>
      <c r="I55" s="40" t="s">
        <v>19</v>
      </c>
      <c r="J55" s="243">
        <v>100</v>
      </c>
      <c r="K55" s="240">
        <v>100</v>
      </c>
      <c r="L55" s="243">
        <f>SUM(L56:L61)</f>
        <v>245000</v>
      </c>
      <c r="M55" s="240">
        <v>100</v>
      </c>
      <c r="N55" s="243">
        <f>SUM(N56:N61)</f>
        <v>365000</v>
      </c>
      <c r="O55" s="240">
        <v>100</v>
      </c>
      <c r="P55" s="243">
        <f>SUM(P56:P61)</f>
        <v>390000</v>
      </c>
      <c r="Q55" s="240">
        <v>100</v>
      </c>
      <c r="R55" s="243">
        <f>SUM(R56:R61)</f>
        <v>520000</v>
      </c>
      <c r="S55" s="240">
        <v>100</v>
      </c>
      <c r="T55" s="243">
        <f>SUM(T56:T61)</f>
        <v>675000</v>
      </c>
      <c r="U55" s="240">
        <v>100</v>
      </c>
      <c r="V55" s="243">
        <f>SUM(V56:V61)</f>
        <v>675000</v>
      </c>
      <c r="W55" s="240">
        <v>100</v>
      </c>
      <c r="X55" s="252"/>
      <c r="Y55" s="185" t="s">
        <v>2338</v>
      </c>
    </row>
    <row r="56" spans="2:25" ht="63.75" x14ac:dyDescent="0.25">
      <c r="B56" s="1998"/>
      <c r="C56" s="12"/>
      <c r="D56" s="12"/>
      <c r="E56" s="12"/>
      <c r="F56" s="12"/>
      <c r="G56" s="30" t="s">
        <v>2399</v>
      </c>
      <c r="H56" s="30" t="s">
        <v>2400</v>
      </c>
      <c r="I56" s="32" t="s">
        <v>2401</v>
      </c>
      <c r="J56" s="33"/>
      <c r="K56" s="34">
        <v>15</v>
      </c>
      <c r="L56" s="35">
        <v>20000</v>
      </c>
      <c r="M56" s="34">
        <v>15</v>
      </c>
      <c r="N56" s="35">
        <v>25000</v>
      </c>
      <c r="O56" s="34">
        <v>15</v>
      </c>
      <c r="P56" s="35">
        <v>30000</v>
      </c>
      <c r="Q56" s="34">
        <v>15</v>
      </c>
      <c r="R56" s="35">
        <v>35000</v>
      </c>
      <c r="S56" s="34">
        <v>15</v>
      </c>
      <c r="T56" s="35">
        <v>40000</v>
      </c>
      <c r="U56" s="34">
        <v>40</v>
      </c>
      <c r="V56" s="35">
        <v>40000</v>
      </c>
      <c r="W56" s="238"/>
      <c r="X56" s="239"/>
      <c r="Y56" s="185" t="s">
        <v>2338</v>
      </c>
    </row>
    <row r="57" spans="2:25" ht="153" x14ac:dyDescent="0.25">
      <c r="B57" s="1998"/>
      <c r="C57" s="12"/>
      <c r="D57" s="12"/>
      <c r="E57" s="12"/>
      <c r="F57" s="12"/>
      <c r="G57" s="30" t="s">
        <v>2402</v>
      </c>
      <c r="H57" s="30" t="s">
        <v>2403</v>
      </c>
      <c r="I57" s="32" t="s">
        <v>2401</v>
      </c>
      <c r="J57" s="253"/>
      <c r="K57" s="238">
        <v>100</v>
      </c>
      <c r="L57" s="35">
        <v>40000</v>
      </c>
      <c r="M57" s="238">
        <v>100</v>
      </c>
      <c r="N57" s="35">
        <v>75000</v>
      </c>
      <c r="O57" s="238">
        <v>100</v>
      </c>
      <c r="P57" s="35">
        <v>100000</v>
      </c>
      <c r="Q57" s="238">
        <v>100</v>
      </c>
      <c r="R57" s="35">
        <v>150000</v>
      </c>
      <c r="S57" s="238">
        <v>100</v>
      </c>
      <c r="T57" s="35">
        <v>200000</v>
      </c>
      <c r="U57" s="238">
        <v>100</v>
      </c>
      <c r="V57" s="35">
        <v>200000</v>
      </c>
      <c r="W57" s="238"/>
      <c r="X57" s="239"/>
      <c r="Y57" s="185" t="s">
        <v>2338</v>
      </c>
    </row>
    <row r="58" spans="2:25" ht="102" x14ac:dyDescent="0.25">
      <c r="B58" s="1998"/>
      <c r="C58" s="12"/>
      <c r="D58" s="12"/>
      <c r="E58" s="12"/>
      <c r="F58" s="12"/>
      <c r="G58" s="30" t="s">
        <v>2404</v>
      </c>
      <c r="H58" s="30" t="s">
        <v>2405</v>
      </c>
      <c r="I58" s="32" t="s">
        <v>2401</v>
      </c>
      <c r="J58" s="253"/>
      <c r="K58" s="34">
        <v>30</v>
      </c>
      <c r="L58" s="35">
        <v>35000</v>
      </c>
      <c r="M58" s="34">
        <v>30</v>
      </c>
      <c r="N58" s="35">
        <v>35000</v>
      </c>
      <c r="O58" s="34">
        <v>30</v>
      </c>
      <c r="P58" s="35">
        <v>35000</v>
      </c>
      <c r="Q58" s="34">
        <v>30</v>
      </c>
      <c r="R58" s="35">
        <v>35000</v>
      </c>
      <c r="S58" s="34">
        <v>30</v>
      </c>
      <c r="T58" s="35">
        <v>35000</v>
      </c>
      <c r="U58" s="34">
        <v>30</v>
      </c>
      <c r="V58" s="35">
        <v>35000</v>
      </c>
      <c r="W58" s="238"/>
      <c r="X58" s="239"/>
      <c r="Y58" s="185" t="s">
        <v>2338</v>
      </c>
    </row>
    <row r="59" spans="2:25" ht="63.75" x14ac:dyDescent="0.25">
      <c r="B59" s="1998"/>
      <c r="C59" s="12"/>
      <c r="D59" s="12"/>
      <c r="E59" s="12"/>
      <c r="F59" s="12"/>
      <c r="G59" s="30" t="s">
        <v>2406</v>
      </c>
      <c r="H59" s="30" t="s">
        <v>2407</v>
      </c>
      <c r="I59" s="32" t="s">
        <v>2401</v>
      </c>
      <c r="J59" s="43"/>
      <c r="K59" s="34">
        <v>30</v>
      </c>
      <c r="L59" s="35">
        <v>20000</v>
      </c>
      <c r="M59" s="34">
        <v>30</v>
      </c>
      <c r="N59" s="35">
        <v>50000</v>
      </c>
      <c r="O59" s="34">
        <v>30</v>
      </c>
      <c r="P59" s="35">
        <v>75000</v>
      </c>
      <c r="Q59" s="34">
        <v>30</v>
      </c>
      <c r="R59" s="35">
        <v>100000</v>
      </c>
      <c r="S59" s="34">
        <v>30</v>
      </c>
      <c r="T59" s="35">
        <v>150000</v>
      </c>
      <c r="U59" s="34">
        <v>30</v>
      </c>
      <c r="V59" s="35">
        <v>150000</v>
      </c>
      <c r="W59" s="238"/>
      <c r="X59" s="239"/>
      <c r="Y59" s="185" t="s">
        <v>2338</v>
      </c>
    </row>
    <row r="60" spans="2:25" ht="127.5" x14ac:dyDescent="0.25">
      <c r="B60" s="1998"/>
      <c r="C60" s="12"/>
      <c r="D60" s="12"/>
      <c r="E60" s="12"/>
      <c r="F60" s="12"/>
      <c r="G60" s="30" t="s">
        <v>2408</v>
      </c>
      <c r="H60" s="30" t="s">
        <v>2409</v>
      </c>
      <c r="I60" s="32" t="s">
        <v>2401</v>
      </c>
      <c r="J60" s="33"/>
      <c r="K60" s="34">
        <v>150</v>
      </c>
      <c r="L60" s="35">
        <v>50000</v>
      </c>
      <c r="M60" s="34">
        <v>150</v>
      </c>
      <c r="N60" s="35">
        <v>50000</v>
      </c>
      <c r="O60" s="34">
        <v>150</v>
      </c>
      <c r="P60" s="35">
        <v>50000</v>
      </c>
      <c r="Q60" s="34">
        <v>150</v>
      </c>
      <c r="R60" s="35">
        <v>50000</v>
      </c>
      <c r="S60" s="34">
        <v>150</v>
      </c>
      <c r="T60" s="35">
        <v>50000</v>
      </c>
      <c r="U60" s="34">
        <v>150</v>
      </c>
      <c r="V60" s="35">
        <v>50000</v>
      </c>
      <c r="W60" s="238"/>
      <c r="X60" s="239"/>
      <c r="Y60" s="185" t="s">
        <v>2338</v>
      </c>
    </row>
    <row r="61" spans="2:25" ht="89.25" x14ac:dyDescent="0.25">
      <c r="B61" s="1999"/>
      <c r="C61" s="13"/>
      <c r="D61" s="13"/>
      <c r="E61" s="13"/>
      <c r="F61" s="13"/>
      <c r="G61" s="30" t="s">
        <v>2410</v>
      </c>
      <c r="H61" s="30" t="s">
        <v>2411</v>
      </c>
      <c r="I61" s="32" t="s">
        <v>2401</v>
      </c>
      <c r="J61" s="43"/>
      <c r="K61" s="34">
        <v>300</v>
      </c>
      <c r="L61" s="35">
        <v>80000</v>
      </c>
      <c r="M61" s="254">
        <v>300</v>
      </c>
      <c r="N61" s="35">
        <v>130000</v>
      </c>
      <c r="O61" s="254">
        <v>300</v>
      </c>
      <c r="P61" s="35">
        <v>100000</v>
      </c>
      <c r="Q61" s="254">
        <v>300</v>
      </c>
      <c r="R61" s="35">
        <v>150000</v>
      </c>
      <c r="S61" s="254">
        <v>300</v>
      </c>
      <c r="T61" s="35">
        <v>200000</v>
      </c>
      <c r="U61" s="254">
        <v>300</v>
      </c>
      <c r="V61" s="35">
        <v>200000</v>
      </c>
      <c r="W61" s="238"/>
      <c r="X61" s="239"/>
      <c r="Y61" s="185" t="s">
        <v>2338</v>
      </c>
    </row>
    <row r="62" spans="2:25" x14ac:dyDescent="0.25">
      <c r="B62" s="181"/>
      <c r="C62" s="177"/>
      <c r="D62" s="177"/>
      <c r="E62" s="176"/>
      <c r="F62" s="12"/>
      <c r="G62" s="255"/>
      <c r="H62" s="175"/>
      <c r="I62" s="32"/>
      <c r="J62" s="43"/>
      <c r="K62" s="34"/>
      <c r="L62" s="35"/>
      <c r="M62" s="254"/>
      <c r="N62" s="35"/>
      <c r="O62" s="254"/>
      <c r="P62" s="35"/>
      <c r="Q62" s="254"/>
      <c r="R62" s="35"/>
      <c r="S62" s="254"/>
      <c r="T62" s="35"/>
      <c r="U62" s="254"/>
      <c r="V62" s="35"/>
      <c r="W62" s="238"/>
      <c r="X62" s="239"/>
      <c r="Y62" s="185"/>
    </row>
    <row r="63" spans="2:25" ht="60" customHeight="1" x14ac:dyDescent="0.25">
      <c r="B63" s="1997" t="s">
        <v>33</v>
      </c>
      <c r="C63" s="1946" t="s">
        <v>34</v>
      </c>
      <c r="D63" s="1946" t="s">
        <v>3831</v>
      </c>
      <c r="E63" s="1792" t="s">
        <v>3992</v>
      </c>
      <c r="F63" s="1946" t="s">
        <v>3913</v>
      </c>
      <c r="G63" s="38" t="s">
        <v>3133</v>
      </c>
      <c r="H63" s="183" t="s">
        <v>35</v>
      </c>
      <c r="I63" s="189" t="s">
        <v>19</v>
      </c>
      <c r="J63" s="235">
        <v>90</v>
      </c>
      <c r="K63" s="199">
        <v>91</v>
      </c>
      <c r="L63" s="200"/>
      <c r="M63" s="199">
        <v>92</v>
      </c>
      <c r="N63" s="200"/>
      <c r="O63" s="199">
        <v>93</v>
      </c>
      <c r="P63" s="200"/>
      <c r="Q63" s="199">
        <v>94</v>
      </c>
      <c r="R63" s="200"/>
      <c r="S63" s="199">
        <v>95</v>
      </c>
      <c r="T63" s="200"/>
      <c r="U63" s="199">
        <v>96</v>
      </c>
      <c r="V63" s="200"/>
      <c r="W63" s="199">
        <v>96</v>
      </c>
      <c r="X63" s="237"/>
      <c r="Y63" s="185" t="s">
        <v>2338</v>
      </c>
    </row>
    <row r="64" spans="2:25" ht="72" x14ac:dyDescent="0.25">
      <c r="B64" s="1998"/>
      <c r="C64" s="1947"/>
      <c r="D64" s="1947"/>
      <c r="E64" s="1793"/>
      <c r="F64" s="1947"/>
      <c r="G64" s="38" t="s">
        <v>36</v>
      </c>
      <c r="H64" s="38" t="s">
        <v>386</v>
      </c>
      <c r="I64" s="189" t="s">
        <v>19</v>
      </c>
      <c r="J64" s="235">
        <v>100</v>
      </c>
      <c r="K64" s="240">
        <v>20</v>
      </c>
      <c r="L64" s="243">
        <f>SUM(L65:L77)</f>
        <v>565022</v>
      </c>
      <c r="M64" s="240">
        <v>20</v>
      </c>
      <c r="N64" s="243">
        <f>SUM(N65:N77)</f>
        <v>566744.19999999995</v>
      </c>
      <c r="O64" s="240">
        <v>15</v>
      </c>
      <c r="P64" s="243">
        <f>SUM(P65:P77)</f>
        <v>623418.62</v>
      </c>
      <c r="Q64" s="240">
        <v>15</v>
      </c>
      <c r="R64" s="243">
        <f>SUM(R65:R77)</f>
        <v>685760.48200000008</v>
      </c>
      <c r="S64" s="240">
        <v>15</v>
      </c>
      <c r="T64" s="243">
        <f>SUM(T65:T77)</f>
        <v>754336.53019999992</v>
      </c>
      <c r="U64" s="240">
        <v>15</v>
      </c>
      <c r="V64" s="243">
        <f>SUM(V65:V77)</f>
        <v>829770.18321999989</v>
      </c>
      <c r="W64" s="240">
        <v>100</v>
      </c>
      <c r="X64" s="241"/>
      <c r="Y64" s="185" t="s">
        <v>2338</v>
      </c>
    </row>
    <row r="65" spans="2:25" ht="38.25" x14ac:dyDescent="0.25">
      <c r="B65" s="1998"/>
      <c r="C65" s="12"/>
      <c r="D65" s="12"/>
      <c r="E65" s="12"/>
      <c r="F65" s="12"/>
      <c r="G65" s="30" t="s">
        <v>124</v>
      </c>
      <c r="H65" s="30" t="s">
        <v>2414</v>
      </c>
      <c r="I65" s="32" t="s">
        <v>40</v>
      </c>
      <c r="J65" s="43"/>
      <c r="K65" s="34">
        <v>12</v>
      </c>
      <c r="L65" s="35">
        <v>3000</v>
      </c>
      <c r="M65" s="34">
        <v>12</v>
      </c>
      <c r="N65" s="238">
        <v>3000</v>
      </c>
      <c r="O65" s="34">
        <v>12</v>
      </c>
      <c r="P65" s="238">
        <v>3300</v>
      </c>
      <c r="Q65" s="34">
        <v>12</v>
      </c>
      <c r="R65" s="238">
        <v>3630</v>
      </c>
      <c r="S65" s="34">
        <v>12</v>
      </c>
      <c r="T65" s="238">
        <v>3993</v>
      </c>
      <c r="U65" s="34">
        <v>12</v>
      </c>
      <c r="V65" s="238">
        <v>4392.3</v>
      </c>
      <c r="W65" s="238"/>
      <c r="X65" s="239"/>
      <c r="Y65" s="185" t="s">
        <v>2338</v>
      </c>
    </row>
    <row r="66" spans="2:25" ht="63.75" x14ac:dyDescent="0.25">
      <c r="B66" s="1998"/>
      <c r="C66" s="12"/>
      <c r="D66" s="12"/>
      <c r="E66" s="12"/>
      <c r="F66" s="12"/>
      <c r="G66" s="30" t="s">
        <v>126</v>
      </c>
      <c r="H66" s="30" t="s">
        <v>2320</v>
      </c>
      <c r="I66" s="32" t="s">
        <v>40</v>
      </c>
      <c r="J66" s="43"/>
      <c r="K66" s="34">
        <v>12</v>
      </c>
      <c r="L66" s="35">
        <v>140000</v>
      </c>
      <c r="M66" s="34">
        <v>12</v>
      </c>
      <c r="N66" s="238">
        <v>130000</v>
      </c>
      <c r="O66" s="34">
        <v>12</v>
      </c>
      <c r="P66" s="238">
        <v>143000</v>
      </c>
      <c r="Q66" s="34">
        <v>12</v>
      </c>
      <c r="R66" s="238">
        <v>157300</v>
      </c>
      <c r="S66" s="34">
        <v>12</v>
      </c>
      <c r="T66" s="238">
        <v>173030</v>
      </c>
      <c r="U66" s="34">
        <v>12</v>
      </c>
      <c r="V66" s="238">
        <v>190333</v>
      </c>
      <c r="W66" s="238"/>
      <c r="X66" s="239"/>
      <c r="Y66" s="185" t="s">
        <v>2338</v>
      </c>
    </row>
    <row r="67" spans="2:25" ht="89.25" x14ac:dyDescent="0.25">
      <c r="B67" s="1998"/>
      <c r="C67" s="12"/>
      <c r="D67" s="12"/>
      <c r="E67" s="12"/>
      <c r="F67" s="12"/>
      <c r="G67" s="30" t="s">
        <v>43</v>
      </c>
      <c r="H67" s="30" t="s">
        <v>2072</v>
      </c>
      <c r="I67" s="32" t="s">
        <v>40</v>
      </c>
      <c r="J67" s="43"/>
      <c r="K67" s="34">
        <v>12</v>
      </c>
      <c r="L67" s="35">
        <v>112021</v>
      </c>
      <c r="M67" s="34">
        <v>12</v>
      </c>
      <c r="N67" s="238">
        <v>110000</v>
      </c>
      <c r="O67" s="34">
        <v>12</v>
      </c>
      <c r="P67" s="238">
        <v>121000</v>
      </c>
      <c r="Q67" s="34">
        <v>12</v>
      </c>
      <c r="R67" s="238">
        <v>133100</v>
      </c>
      <c r="S67" s="34">
        <v>12</v>
      </c>
      <c r="T67" s="238">
        <v>146410</v>
      </c>
      <c r="U67" s="34">
        <v>12</v>
      </c>
      <c r="V67" s="238">
        <v>161051</v>
      </c>
      <c r="W67" s="238"/>
      <c r="X67" s="239"/>
      <c r="Y67" s="185" t="s">
        <v>2338</v>
      </c>
    </row>
    <row r="68" spans="2:25" ht="63.75" x14ac:dyDescent="0.25">
      <c r="B68" s="1998"/>
      <c r="C68" s="12"/>
      <c r="D68" s="12"/>
      <c r="E68" s="12"/>
      <c r="F68" s="12"/>
      <c r="G68" s="30" t="s">
        <v>45</v>
      </c>
      <c r="H68" s="30" t="s">
        <v>2415</v>
      </c>
      <c r="I68" s="32" t="s">
        <v>40</v>
      </c>
      <c r="J68" s="43"/>
      <c r="K68" s="34">
        <v>12</v>
      </c>
      <c r="L68" s="35">
        <v>45000</v>
      </c>
      <c r="M68" s="34">
        <v>12</v>
      </c>
      <c r="N68" s="238">
        <v>64000</v>
      </c>
      <c r="O68" s="34">
        <v>12</v>
      </c>
      <c r="P68" s="238">
        <v>70400</v>
      </c>
      <c r="Q68" s="34">
        <v>12</v>
      </c>
      <c r="R68" s="238">
        <v>77440</v>
      </c>
      <c r="S68" s="34">
        <v>12</v>
      </c>
      <c r="T68" s="238">
        <v>85184</v>
      </c>
      <c r="U68" s="34">
        <v>12</v>
      </c>
      <c r="V68" s="238">
        <v>93702.399999999994</v>
      </c>
      <c r="W68" s="238"/>
      <c r="X68" s="239"/>
      <c r="Y68" s="185" t="s">
        <v>2338</v>
      </c>
    </row>
    <row r="69" spans="2:25" ht="51" x14ac:dyDescent="0.25">
      <c r="B69" s="1998"/>
      <c r="C69" s="12"/>
      <c r="D69" s="12"/>
      <c r="E69" s="12"/>
      <c r="F69" s="12"/>
      <c r="G69" s="30" t="s">
        <v>47</v>
      </c>
      <c r="H69" s="30" t="s">
        <v>2416</v>
      </c>
      <c r="I69" s="32" t="s">
        <v>40</v>
      </c>
      <c r="J69" s="43"/>
      <c r="K69" s="34">
        <v>12</v>
      </c>
      <c r="L69" s="35">
        <v>17000</v>
      </c>
      <c r="M69" s="34">
        <v>12</v>
      </c>
      <c r="N69" s="238">
        <v>33744.199999999997</v>
      </c>
      <c r="O69" s="34">
        <v>12</v>
      </c>
      <c r="P69" s="238">
        <v>37118.620000000003</v>
      </c>
      <c r="Q69" s="34">
        <v>12</v>
      </c>
      <c r="R69" s="238">
        <v>40830.482000000004</v>
      </c>
      <c r="S69" s="34">
        <v>12</v>
      </c>
      <c r="T69" s="238">
        <v>44913.530200000001</v>
      </c>
      <c r="U69" s="34">
        <v>12</v>
      </c>
      <c r="V69" s="238">
        <v>49404.883220000003</v>
      </c>
      <c r="W69" s="238"/>
      <c r="X69" s="239"/>
      <c r="Y69" s="185" t="s">
        <v>2338</v>
      </c>
    </row>
    <row r="70" spans="2:25" ht="63.75" x14ac:dyDescent="0.25">
      <c r="B70" s="1998"/>
      <c r="C70" s="12"/>
      <c r="D70" s="12"/>
      <c r="E70" s="12"/>
      <c r="F70" s="12"/>
      <c r="G70" s="30" t="s">
        <v>130</v>
      </c>
      <c r="H70" s="30" t="s">
        <v>2078</v>
      </c>
      <c r="I70" s="32" t="s">
        <v>40</v>
      </c>
      <c r="J70" s="43"/>
      <c r="K70" s="34">
        <v>12</v>
      </c>
      <c r="L70" s="35">
        <v>20000</v>
      </c>
      <c r="M70" s="34">
        <v>12</v>
      </c>
      <c r="N70" s="238">
        <v>20000</v>
      </c>
      <c r="O70" s="34">
        <v>12</v>
      </c>
      <c r="P70" s="238">
        <v>22000</v>
      </c>
      <c r="Q70" s="34">
        <v>12</v>
      </c>
      <c r="R70" s="238">
        <v>24200</v>
      </c>
      <c r="S70" s="34">
        <v>12</v>
      </c>
      <c r="T70" s="238">
        <v>26620</v>
      </c>
      <c r="U70" s="34">
        <v>12</v>
      </c>
      <c r="V70" s="238">
        <v>29282</v>
      </c>
      <c r="W70" s="238"/>
      <c r="X70" s="239"/>
      <c r="Y70" s="185" t="s">
        <v>2338</v>
      </c>
    </row>
    <row r="71" spans="2:25" ht="38.25" x14ac:dyDescent="0.25">
      <c r="B71" s="1998"/>
      <c r="C71" s="12"/>
      <c r="D71" s="12"/>
      <c r="E71" s="12"/>
      <c r="F71" s="12"/>
      <c r="G71" s="30" t="s">
        <v>50</v>
      </c>
      <c r="H71" s="30" t="s">
        <v>2080</v>
      </c>
      <c r="I71" s="32" t="s">
        <v>40</v>
      </c>
      <c r="J71" s="43"/>
      <c r="K71" s="34">
        <v>12</v>
      </c>
      <c r="L71" s="35">
        <v>35000</v>
      </c>
      <c r="M71" s="34">
        <v>12</v>
      </c>
      <c r="N71" s="238">
        <v>27500</v>
      </c>
      <c r="O71" s="34">
        <v>12</v>
      </c>
      <c r="P71" s="238">
        <v>30250</v>
      </c>
      <c r="Q71" s="34">
        <v>12</v>
      </c>
      <c r="R71" s="238">
        <v>33275</v>
      </c>
      <c r="S71" s="34">
        <v>12</v>
      </c>
      <c r="T71" s="238">
        <v>36602.5</v>
      </c>
      <c r="U71" s="34">
        <v>12</v>
      </c>
      <c r="V71" s="238">
        <v>40262.75</v>
      </c>
      <c r="W71" s="238"/>
      <c r="X71" s="239"/>
      <c r="Y71" s="185" t="s">
        <v>2338</v>
      </c>
    </row>
    <row r="72" spans="2:25" ht="51" x14ac:dyDescent="0.25">
      <c r="B72" s="1998"/>
      <c r="C72" s="12"/>
      <c r="D72" s="12"/>
      <c r="E72" s="12"/>
      <c r="F72" s="12"/>
      <c r="G72" s="30" t="s">
        <v>52</v>
      </c>
      <c r="H72" s="30" t="s">
        <v>2324</v>
      </c>
      <c r="I72" s="32" t="s">
        <v>40</v>
      </c>
      <c r="J72" s="43"/>
      <c r="K72" s="34">
        <v>12</v>
      </c>
      <c r="L72" s="35">
        <v>35000</v>
      </c>
      <c r="M72" s="34">
        <v>12</v>
      </c>
      <c r="N72" s="238">
        <v>27500</v>
      </c>
      <c r="O72" s="34">
        <v>12</v>
      </c>
      <c r="P72" s="238">
        <v>30250</v>
      </c>
      <c r="Q72" s="34">
        <v>12</v>
      </c>
      <c r="R72" s="238">
        <v>33275</v>
      </c>
      <c r="S72" s="34">
        <v>12</v>
      </c>
      <c r="T72" s="238">
        <v>36602.5</v>
      </c>
      <c r="U72" s="34">
        <v>12</v>
      </c>
      <c r="V72" s="238">
        <v>40262.75</v>
      </c>
      <c r="W72" s="238"/>
      <c r="X72" s="239"/>
      <c r="Y72" s="185" t="s">
        <v>2338</v>
      </c>
    </row>
    <row r="73" spans="2:25" ht="89.25" x14ac:dyDescent="0.25">
      <c r="B73" s="1998"/>
      <c r="C73" s="12"/>
      <c r="D73" s="12"/>
      <c r="E73" s="12"/>
      <c r="F73" s="12"/>
      <c r="G73" s="30" t="s">
        <v>54</v>
      </c>
      <c r="H73" s="30" t="s">
        <v>2417</v>
      </c>
      <c r="I73" s="32" t="s">
        <v>40</v>
      </c>
      <c r="J73" s="43"/>
      <c r="K73" s="34">
        <v>12</v>
      </c>
      <c r="L73" s="35">
        <v>20000</v>
      </c>
      <c r="M73" s="34">
        <v>12</v>
      </c>
      <c r="N73" s="238">
        <v>15000</v>
      </c>
      <c r="O73" s="34">
        <v>12</v>
      </c>
      <c r="P73" s="238">
        <v>16500</v>
      </c>
      <c r="Q73" s="34">
        <v>12</v>
      </c>
      <c r="R73" s="238">
        <v>18150</v>
      </c>
      <c r="S73" s="34">
        <v>12</v>
      </c>
      <c r="T73" s="238">
        <v>19965</v>
      </c>
      <c r="U73" s="34">
        <v>12</v>
      </c>
      <c r="V73" s="238">
        <v>21961.5</v>
      </c>
      <c r="W73" s="238"/>
      <c r="X73" s="239"/>
      <c r="Y73" s="185" t="s">
        <v>2338</v>
      </c>
    </row>
    <row r="74" spans="2:25" ht="63.75" x14ac:dyDescent="0.25">
      <c r="B74" s="1998"/>
      <c r="C74" s="12"/>
      <c r="D74" s="12"/>
      <c r="E74" s="12"/>
      <c r="F74" s="12"/>
      <c r="G74" s="30" t="s">
        <v>2418</v>
      </c>
      <c r="H74" s="30" t="s">
        <v>2419</v>
      </c>
      <c r="I74" s="32" t="s">
        <v>40</v>
      </c>
      <c r="J74" s="43"/>
      <c r="K74" s="34">
        <v>12</v>
      </c>
      <c r="L74" s="35">
        <v>6001</v>
      </c>
      <c r="M74" s="34">
        <v>12</v>
      </c>
      <c r="N74" s="238">
        <v>6000</v>
      </c>
      <c r="O74" s="34">
        <v>12</v>
      </c>
      <c r="P74" s="238">
        <v>6600</v>
      </c>
      <c r="Q74" s="34">
        <v>12</v>
      </c>
      <c r="R74" s="238">
        <v>7260</v>
      </c>
      <c r="S74" s="34">
        <v>12</v>
      </c>
      <c r="T74" s="238">
        <v>7986</v>
      </c>
      <c r="U74" s="34">
        <v>12</v>
      </c>
      <c r="V74" s="238">
        <v>8784.6</v>
      </c>
      <c r="W74" s="238"/>
      <c r="X74" s="239"/>
      <c r="Y74" s="185" t="s">
        <v>2338</v>
      </c>
    </row>
    <row r="75" spans="2:25" ht="38.25" x14ac:dyDescent="0.25">
      <c r="B75" s="1998"/>
      <c r="C75" s="12"/>
      <c r="D75" s="12"/>
      <c r="E75" s="12"/>
      <c r="F75" s="12"/>
      <c r="G75" s="30" t="s">
        <v>58</v>
      </c>
      <c r="H75" s="30" t="s">
        <v>2085</v>
      </c>
      <c r="I75" s="32" t="s">
        <v>40</v>
      </c>
      <c r="J75" s="43"/>
      <c r="K75" s="34">
        <v>12</v>
      </c>
      <c r="L75" s="35">
        <v>22000</v>
      </c>
      <c r="M75" s="34">
        <v>12</v>
      </c>
      <c r="N75" s="238">
        <v>20000</v>
      </c>
      <c r="O75" s="34">
        <v>12</v>
      </c>
      <c r="P75" s="238">
        <v>22000</v>
      </c>
      <c r="Q75" s="34">
        <v>12</v>
      </c>
      <c r="R75" s="238">
        <v>24200</v>
      </c>
      <c r="S75" s="34">
        <v>12</v>
      </c>
      <c r="T75" s="238">
        <v>26620</v>
      </c>
      <c r="U75" s="34">
        <v>12</v>
      </c>
      <c r="V75" s="238">
        <v>29282</v>
      </c>
      <c r="W75" s="238"/>
      <c r="X75" s="239"/>
      <c r="Y75" s="185" t="s">
        <v>2338</v>
      </c>
    </row>
    <row r="76" spans="2:25" ht="114.75" x14ac:dyDescent="0.25">
      <c r="B76" s="1998"/>
      <c r="C76" s="12"/>
      <c r="D76" s="12"/>
      <c r="E76" s="12"/>
      <c r="F76" s="12"/>
      <c r="G76" s="30" t="s">
        <v>2420</v>
      </c>
      <c r="H76" s="30" t="s">
        <v>2421</v>
      </c>
      <c r="I76" s="32" t="s">
        <v>40</v>
      </c>
      <c r="J76" s="43"/>
      <c r="K76" s="34">
        <v>12</v>
      </c>
      <c r="L76" s="35">
        <v>100000</v>
      </c>
      <c r="M76" s="34">
        <v>12</v>
      </c>
      <c r="N76" s="238">
        <v>100000</v>
      </c>
      <c r="O76" s="34">
        <v>12</v>
      </c>
      <c r="P76" s="238">
        <v>110000</v>
      </c>
      <c r="Q76" s="34">
        <v>12</v>
      </c>
      <c r="R76" s="238">
        <v>121000</v>
      </c>
      <c r="S76" s="34">
        <v>12</v>
      </c>
      <c r="T76" s="238">
        <v>133100</v>
      </c>
      <c r="U76" s="34">
        <v>12</v>
      </c>
      <c r="V76" s="238">
        <v>146410</v>
      </c>
      <c r="W76" s="238"/>
      <c r="X76" s="239"/>
      <c r="Y76" s="185" t="s">
        <v>2338</v>
      </c>
    </row>
    <row r="77" spans="2:25" ht="114.75" x14ac:dyDescent="0.25">
      <c r="B77" s="1998"/>
      <c r="C77" s="12"/>
      <c r="D77" s="12"/>
      <c r="E77" s="12"/>
      <c r="F77" s="12"/>
      <c r="G77" s="30" t="s">
        <v>2422</v>
      </c>
      <c r="H77" s="30" t="s">
        <v>2423</v>
      </c>
      <c r="I77" s="32" t="s">
        <v>40</v>
      </c>
      <c r="J77" s="43"/>
      <c r="K77" s="34">
        <v>12</v>
      </c>
      <c r="L77" s="35">
        <v>10000</v>
      </c>
      <c r="M77" s="34">
        <v>12</v>
      </c>
      <c r="N77" s="238">
        <v>10000</v>
      </c>
      <c r="O77" s="34">
        <v>12</v>
      </c>
      <c r="P77" s="238">
        <v>11000</v>
      </c>
      <c r="Q77" s="34">
        <v>12</v>
      </c>
      <c r="R77" s="238">
        <v>12100</v>
      </c>
      <c r="S77" s="34">
        <v>12</v>
      </c>
      <c r="T77" s="238">
        <v>13310</v>
      </c>
      <c r="U77" s="34">
        <v>12</v>
      </c>
      <c r="V77" s="238">
        <v>14641</v>
      </c>
      <c r="W77" s="238"/>
      <c r="X77" s="239"/>
      <c r="Y77" s="185" t="s">
        <v>2338</v>
      </c>
    </row>
    <row r="78" spans="2:25" ht="72" x14ac:dyDescent="0.25">
      <c r="B78" s="1998"/>
      <c r="C78" s="12"/>
      <c r="D78" s="12"/>
      <c r="E78" s="12"/>
      <c r="F78" s="45"/>
      <c r="G78" s="38" t="s">
        <v>1493</v>
      </c>
      <c r="H78" s="38" t="s">
        <v>249</v>
      </c>
      <c r="I78" s="189" t="s">
        <v>19</v>
      </c>
      <c r="J78" s="235">
        <v>100</v>
      </c>
      <c r="K78" s="199">
        <v>20</v>
      </c>
      <c r="L78" s="42">
        <f>SUM(L79:L93)</f>
        <v>467500</v>
      </c>
      <c r="M78" s="199">
        <v>20</v>
      </c>
      <c r="N78" s="42">
        <f>SUM(N79:N93)</f>
        <v>143280</v>
      </c>
      <c r="O78" s="199">
        <v>15</v>
      </c>
      <c r="P78" s="42">
        <f>SUM(P79:P93)</f>
        <v>586520</v>
      </c>
      <c r="Q78" s="199">
        <v>15</v>
      </c>
      <c r="R78" s="42">
        <f>SUM(R79:R93)</f>
        <v>430075</v>
      </c>
      <c r="S78" s="199">
        <v>15</v>
      </c>
      <c r="T78" s="42">
        <f>SUM(T79:T93)</f>
        <v>443082.5</v>
      </c>
      <c r="U78" s="199">
        <v>15</v>
      </c>
      <c r="V78" s="42">
        <f>SUM(V79:V93)</f>
        <v>457390.74999999994</v>
      </c>
      <c r="W78" s="240">
        <v>100</v>
      </c>
      <c r="X78" s="241"/>
      <c r="Y78" s="185" t="s">
        <v>2338</v>
      </c>
    </row>
    <row r="79" spans="2:25" ht="25.5" x14ac:dyDescent="0.25">
      <c r="B79" s="1998"/>
      <c r="C79" s="12"/>
      <c r="D79" s="12"/>
      <c r="E79" s="12"/>
      <c r="F79" s="12"/>
      <c r="G79" s="2000" t="s">
        <v>1174</v>
      </c>
      <c r="H79" s="30" t="s">
        <v>2424</v>
      </c>
      <c r="I79" s="32" t="s">
        <v>75</v>
      </c>
      <c r="J79" s="43"/>
      <c r="K79" s="34">
        <v>1</v>
      </c>
      <c r="L79" s="36">
        <v>387000</v>
      </c>
      <c r="M79" s="34">
        <v>2</v>
      </c>
      <c r="N79" s="36">
        <v>35780</v>
      </c>
      <c r="O79" s="34">
        <v>6</v>
      </c>
      <c r="P79" s="36">
        <v>468270</v>
      </c>
      <c r="Q79" s="34">
        <v>0</v>
      </c>
      <c r="R79" s="36">
        <v>300000</v>
      </c>
      <c r="S79" s="34">
        <v>0</v>
      </c>
      <c r="T79" s="36">
        <v>300000</v>
      </c>
      <c r="U79" s="34">
        <v>0</v>
      </c>
      <c r="V79" s="36">
        <v>300000</v>
      </c>
      <c r="W79" s="238"/>
      <c r="X79" s="239"/>
      <c r="Y79" s="185" t="s">
        <v>2338</v>
      </c>
    </row>
    <row r="80" spans="2:25" ht="25.5" x14ac:dyDescent="0.25">
      <c r="B80" s="1998"/>
      <c r="C80" s="12"/>
      <c r="D80" s="12"/>
      <c r="E80" s="12"/>
      <c r="F80" s="12"/>
      <c r="G80" s="2000"/>
      <c r="H80" s="30" t="s">
        <v>2425</v>
      </c>
      <c r="I80" s="32" t="s">
        <v>75</v>
      </c>
      <c r="J80" s="43"/>
      <c r="K80" s="34">
        <v>1</v>
      </c>
      <c r="L80" s="37">
        <v>0</v>
      </c>
      <c r="M80" s="34"/>
      <c r="N80" s="37">
        <v>0</v>
      </c>
      <c r="O80" s="34">
        <v>1</v>
      </c>
      <c r="P80" s="37">
        <v>0</v>
      </c>
      <c r="Q80" s="34">
        <v>1</v>
      </c>
      <c r="R80" s="37">
        <v>0</v>
      </c>
      <c r="S80" s="34">
        <v>1</v>
      </c>
      <c r="T80" s="37">
        <v>0</v>
      </c>
      <c r="U80" s="34">
        <v>1</v>
      </c>
      <c r="V80" s="37">
        <v>0</v>
      </c>
      <c r="W80" s="238"/>
      <c r="X80" s="239"/>
      <c r="Y80" s="185" t="s">
        <v>2338</v>
      </c>
    </row>
    <row r="81" spans="2:25" ht="25.5" x14ac:dyDescent="0.25">
      <c r="B81" s="1998"/>
      <c r="C81" s="12"/>
      <c r="D81" s="12"/>
      <c r="E81" s="12"/>
      <c r="F81" s="12"/>
      <c r="G81" s="2000" t="s">
        <v>144</v>
      </c>
      <c r="H81" s="30" t="s">
        <v>2426</v>
      </c>
      <c r="I81" s="32" t="s">
        <v>75</v>
      </c>
      <c r="J81" s="33"/>
      <c r="K81" s="34">
        <v>2</v>
      </c>
      <c r="L81" s="36">
        <v>4000</v>
      </c>
      <c r="M81" s="34">
        <v>2</v>
      </c>
      <c r="N81" s="256">
        <v>10000</v>
      </c>
      <c r="O81" s="34"/>
      <c r="P81" s="256">
        <v>11000</v>
      </c>
      <c r="Q81" s="34"/>
      <c r="R81" s="256">
        <v>12100</v>
      </c>
      <c r="S81" s="34"/>
      <c r="T81" s="256">
        <v>13310</v>
      </c>
      <c r="U81" s="34"/>
      <c r="V81" s="256">
        <v>14641</v>
      </c>
      <c r="W81" s="238"/>
      <c r="X81" s="239"/>
      <c r="Y81" s="185" t="s">
        <v>2338</v>
      </c>
    </row>
    <row r="82" spans="2:25" ht="25.5" x14ac:dyDescent="0.25">
      <c r="B82" s="1998"/>
      <c r="C82" s="12"/>
      <c r="D82" s="12"/>
      <c r="E82" s="12"/>
      <c r="F82" s="12"/>
      <c r="G82" s="2000"/>
      <c r="H82" s="30" t="s">
        <v>2427</v>
      </c>
      <c r="I82" s="32" t="s">
        <v>75</v>
      </c>
      <c r="J82" s="33"/>
      <c r="K82" s="34"/>
      <c r="L82" s="44">
        <v>0</v>
      </c>
      <c r="M82" s="34">
        <v>1</v>
      </c>
      <c r="N82" s="257">
        <v>0</v>
      </c>
      <c r="O82" s="34"/>
      <c r="P82" s="257">
        <v>0</v>
      </c>
      <c r="Q82" s="34"/>
      <c r="R82" s="257">
        <v>0</v>
      </c>
      <c r="S82" s="34"/>
      <c r="T82" s="257">
        <v>0</v>
      </c>
      <c r="U82" s="34"/>
      <c r="V82" s="257">
        <v>0</v>
      </c>
      <c r="W82" s="238"/>
      <c r="X82" s="239"/>
      <c r="Y82" s="185" t="s">
        <v>2338</v>
      </c>
    </row>
    <row r="83" spans="2:25" ht="25.5" x14ac:dyDescent="0.25">
      <c r="B83" s="1998"/>
      <c r="C83" s="12"/>
      <c r="D83" s="12"/>
      <c r="E83" s="12"/>
      <c r="F83" s="12"/>
      <c r="G83" s="2000"/>
      <c r="H83" s="30" t="s">
        <v>2428</v>
      </c>
      <c r="I83" s="32" t="s">
        <v>75</v>
      </c>
      <c r="J83" s="33"/>
      <c r="K83" s="34"/>
      <c r="L83" s="44">
        <v>0</v>
      </c>
      <c r="M83" s="34">
        <v>1</v>
      </c>
      <c r="N83" s="257">
        <v>0</v>
      </c>
      <c r="O83" s="34"/>
      <c r="P83" s="257">
        <v>0</v>
      </c>
      <c r="Q83" s="34"/>
      <c r="R83" s="257">
        <v>0</v>
      </c>
      <c r="S83" s="34"/>
      <c r="T83" s="257">
        <v>0</v>
      </c>
      <c r="U83" s="34">
        <v>1</v>
      </c>
      <c r="V83" s="257">
        <v>0</v>
      </c>
      <c r="W83" s="238"/>
      <c r="X83" s="239"/>
      <c r="Y83" s="185" t="s">
        <v>2338</v>
      </c>
    </row>
    <row r="84" spans="2:25" ht="25.5" x14ac:dyDescent="0.25">
      <c r="B84" s="1998"/>
      <c r="C84" s="12"/>
      <c r="D84" s="12"/>
      <c r="E84" s="12"/>
      <c r="F84" s="12"/>
      <c r="G84" s="2000"/>
      <c r="H84" s="30" t="s">
        <v>2429</v>
      </c>
      <c r="I84" s="32" t="s">
        <v>75</v>
      </c>
      <c r="J84" s="33"/>
      <c r="K84" s="34"/>
      <c r="L84" s="44">
        <v>0</v>
      </c>
      <c r="M84" s="34">
        <v>1</v>
      </c>
      <c r="N84" s="257">
        <v>0</v>
      </c>
      <c r="O84" s="34">
        <v>2</v>
      </c>
      <c r="P84" s="257">
        <v>0</v>
      </c>
      <c r="Q84" s="34">
        <v>2</v>
      </c>
      <c r="R84" s="257">
        <v>0</v>
      </c>
      <c r="S84" s="34">
        <v>2</v>
      </c>
      <c r="T84" s="257">
        <v>0</v>
      </c>
      <c r="U84" s="34">
        <v>2</v>
      </c>
      <c r="V84" s="257">
        <v>0</v>
      </c>
      <c r="W84" s="238"/>
      <c r="X84" s="239"/>
      <c r="Y84" s="185" t="s">
        <v>2338</v>
      </c>
    </row>
    <row r="85" spans="2:25" ht="25.5" x14ac:dyDescent="0.25">
      <c r="B85" s="1998"/>
      <c r="C85" s="12"/>
      <c r="D85" s="12"/>
      <c r="E85" s="12"/>
      <c r="F85" s="12"/>
      <c r="G85" s="2000"/>
      <c r="H85" s="30" t="s">
        <v>2430</v>
      </c>
      <c r="I85" s="32" t="s">
        <v>75</v>
      </c>
      <c r="J85" s="33"/>
      <c r="K85" s="34"/>
      <c r="L85" s="37">
        <v>0</v>
      </c>
      <c r="M85" s="34">
        <v>6</v>
      </c>
      <c r="N85" s="258">
        <v>0</v>
      </c>
      <c r="O85" s="34">
        <v>2</v>
      </c>
      <c r="P85" s="258">
        <v>0</v>
      </c>
      <c r="Q85" s="34">
        <v>3</v>
      </c>
      <c r="R85" s="258">
        <v>0</v>
      </c>
      <c r="S85" s="34">
        <v>4</v>
      </c>
      <c r="T85" s="258">
        <v>0</v>
      </c>
      <c r="U85" s="34">
        <v>4</v>
      </c>
      <c r="V85" s="258">
        <v>0</v>
      </c>
      <c r="W85" s="238"/>
      <c r="X85" s="239"/>
      <c r="Y85" s="185" t="s">
        <v>2338</v>
      </c>
    </row>
    <row r="86" spans="2:25" ht="25.5" x14ac:dyDescent="0.25">
      <c r="B86" s="1998"/>
      <c r="C86" s="12"/>
      <c r="D86" s="12"/>
      <c r="E86" s="12"/>
      <c r="F86" s="12"/>
      <c r="G86" s="2000" t="s">
        <v>2431</v>
      </c>
      <c r="H86" s="30" t="s">
        <v>2432</v>
      </c>
      <c r="I86" s="32" t="s">
        <v>75</v>
      </c>
      <c r="J86" s="33"/>
      <c r="K86" s="34">
        <v>10</v>
      </c>
      <c r="L86" s="36">
        <v>31500</v>
      </c>
      <c r="M86" s="34">
        <v>10</v>
      </c>
      <c r="N86" s="256">
        <v>48000</v>
      </c>
      <c r="O86" s="34">
        <v>10</v>
      </c>
      <c r="P86" s="256">
        <v>52800</v>
      </c>
      <c r="Q86" s="34">
        <v>10</v>
      </c>
      <c r="R86" s="256">
        <v>58080</v>
      </c>
      <c r="S86" s="34">
        <v>10</v>
      </c>
      <c r="T86" s="256">
        <v>63888</v>
      </c>
      <c r="U86" s="34">
        <v>10</v>
      </c>
      <c r="V86" s="256">
        <v>70276.800000000003</v>
      </c>
      <c r="W86" s="238"/>
      <c r="X86" s="239"/>
      <c r="Y86" s="185" t="s">
        <v>2338</v>
      </c>
    </row>
    <row r="87" spans="2:25" ht="25.5" x14ac:dyDescent="0.25">
      <c r="B87" s="1998"/>
      <c r="C87" s="12"/>
      <c r="D87" s="12"/>
      <c r="E87" s="12"/>
      <c r="F87" s="12"/>
      <c r="G87" s="2000"/>
      <c r="H87" s="30" t="s">
        <v>2433</v>
      </c>
      <c r="I87" s="32" t="s">
        <v>75</v>
      </c>
      <c r="J87" s="33"/>
      <c r="K87" s="34">
        <v>2</v>
      </c>
      <c r="L87" s="37">
        <v>0</v>
      </c>
      <c r="M87" s="34">
        <v>2</v>
      </c>
      <c r="N87" s="258">
        <v>0</v>
      </c>
      <c r="O87" s="34">
        <v>2</v>
      </c>
      <c r="P87" s="258">
        <v>0</v>
      </c>
      <c r="Q87" s="34">
        <v>2</v>
      </c>
      <c r="R87" s="258">
        <v>0</v>
      </c>
      <c r="S87" s="34">
        <v>2</v>
      </c>
      <c r="T87" s="258">
        <v>0</v>
      </c>
      <c r="U87" s="34">
        <v>2</v>
      </c>
      <c r="V87" s="258">
        <v>0</v>
      </c>
      <c r="W87" s="238"/>
      <c r="X87" s="239"/>
      <c r="Y87" s="185" t="s">
        <v>2338</v>
      </c>
    </row>
    <row r="88" spans="2:25" ht="25.5" x14ac:dyDescent="0.25">
      <c r="B88" s="1998"/>
      <c r="C88" s="12"/>
      <c r="D88" s="12"/>
      <c r="E88" s="12"/>
      <c r="F88" s="12"/>
      <c r="G88" s="2000" t="s">
        <v>158</v>
      </c>
      <c r="H88" s="30" t="s">
        <v>2434</v>
      </c>
      <c r="I88" s="32" t="s">
        <v>75</v>
      </c>
      <c r="J88" s="33"/>
      <c r="K88" s="33">
        <v>7</v>
      </c>
      <c r="L88" s="36">
        <v>10000</v>
      </c>
      <c r="M88" s="33"/>
      <c r="N88" s="256">
        <v>11000</v>
      </c>
      <c r="O88" s="33">
        <v>20</v>
      </c>
      <c r="P88" s="256">
        <v>12100</v>
      </c>
      <c r="Q88" s="33"/>
      <c r="R88" s="256">
        <v>13310</v>
      </c>
      <c r="S88" s="33">
        <v>20</v>
      </c>
      <c r="T88" s="256">
        <v>14641</v>
      </c>
      <c r="U88" s="33"/>
      <c r="V88" s="256">
        <v>16105.1</v>
      </c>
      <c r="W88" s="238"/>
      <c r="X88" s="239"/>
      <c r="Y88" s="185" t="s">
        <v>2338</v>
      </c>
    </row>
    <row r="89" spans="2:25" ht="25.5" x14ac:dyDescent="0.25">
      <c r="B89" s="1998"/>
      <c r="C89" s="12"/>
      <c r="D89" s="12"/>
      <c r="E89" s="12"/>
      <c r="F89" s="12"/>
      <c r="G89" s="2000"/>
      <c r="H89" s="30" t="s">
        <v>2435</v>
      </c>
      <c r="I89" s="32" t="s">
        <v>75</v>
      </c>
      <c r="J89" s="33"/>
      <c r="K89" s="33"/>
      <c r="L89" s="44">
        <v>0</v>
      </c>
      <c r="M89" s="33">
        <v>3</v>
      </c>
      <c r="N89" s="257">
        <v>0</v>
      </c>
      <c r="O89" s="33"/>
      <c r="P89" s="257">
        <v>0</v>
      </c>
      <c r="Q89" s="33"/>
      <c r="R89" s="257">
        <v>0</v>
      </c>
      <c r="S89" s="33"/>
      <c r="T89" s="257">
        <v>0</v>
      </c>
      <c r="U89" s="33">
        <v>1</v>
      </c>
      <c r="V89" s="257">
        <v>0</v>
      </c>
      <c r="W89" s="238"/>
      <c r="X89" s="239"/>
      <c r="Y89" s="185" t="s">
        <v>2338</v>
      </c>
    </row>
    <row r="90" spans="2:25" ht="25.5" x14ac:dyDescent="0.25">
      <c r="B90" s="1998"/>
      <c r="C90" s="12"/>
      <c r="D90" s="12"/>
      <c r="E90" s="12"/>
      <c r="F90" s="12"/>
      <c r="G90" s="2000"/>
      <c r="H90" s="30" t="s">
        <v>2436</v>
      </c>
      <c r="I90" s="32" t="s">
        <v>75</v>
      </c>
      <c r="J90" s="33"/>
      <c r="K90" s="33">
        <v>2</v>
      </c>
      <c r="L90" s="44">
        <v>0</v>
      </c>
      <c r="M90" s="33"/>
      <c r="N90" s="257">
        <v>0</v>
      </c>
      <c r="O90" s="33"/>
      <c r="P90" s="257">
        <v>0</v>
      </c>
      <c r="Q90" s="33"/>
      <c r="R90" s="257">
        <v>0</v>
      </c>
      <c r="S90" s="33"/>
      <c r="T90" s="257">
        <v>0</v>
      </c>
      <c r="U90" s="33"/>
      <c r="V90" s="257">
        <v>0</v>
      </c>
      <c r="W90" s="238"/>
      <c r="X90" s="239"/>
      <c r="Y90" s="185" t="s">
        <v>2338</v>
      </c>
    </row>
    <row r="91" spans="2:25" ht="25.5" x14ac:dyDescent="0.25">
      <c r="B91" s="1998"/>
      <c r="C91" s="12"/>
      <c r="D91" s="12"/>
      <c r="E91" s="12"/>
      <c r="F91" s="12"/>
      <c r="G91" s="2000"/>
      <c r="H91" s="30" t="s">
        <v>2437</v>
      </c>
      <c r="I91" s="32" t="s">
        <v>75</v>
      </c>
      <c r="J91" s="33"/>
      <c r="K91" s="33">
        <v>9</v>
      </c>
      <c r="L91" s="44">
        <v>0</v>
      </c>
      <c r="M91" s="33"/>
      <c r="N91" s="257">
        <v>0</v>
      </c>
      <c r="O91" s="33"/>
      <c r="P91" s="257">
        <v>0</v>
      </c>
      <c r="Q91" s="33"/>
      <c r="R91" s="257">
        <v>0</v>
      </c>
      <c r="S91" s="33"/>
      <c r="T91" s="257">
        <v>0</v>
      </c>
      <c r="U91" s="33"/>
      <c r="V91" s="257">
        <v>0</v>
      </c>
      <c r="W91" s="238"/>
      <c r="X91" s="239"/>
      <c r="Y91" s="185" t="s">
        <v>2338</v>
      </c>
    </row>
    <row r="92" spans="2:25" ht="25.5" x14ac:dyDescent="0.25">
      <c r="B92" s="1998"/>
      <c r="C92" s="12"/>
      <c r="D92" s="12"/>
      <c r="E92" s="12"/>
      <c r="F92" s="12"/>
      <c r="G92" s="2000"/>
      <c r="H92" s="30" t="s">
        <v>2438</v>
      </c>
      <c r="I92" s="32" t="s">
        <v>75</v>
      </c>
      <c r="J92" s="33"/>
      <c r="K92" s="33">
        <v>7</v>
      </c>
      <c r="L92" s="37">
        <v>0</v>
      </c>
      <c r="M92" s="33">
        <v>1</v>
      </c>
      <c r="N92" s="258">
        <v>0</v>
      </c>
      <c r="O92" s="33">
        <v>2</v>
      </c>
      <c r="P92" s="258">
        <v>0</v>
      </c>
      <c r="Q92" s="33">
        <v>3</v>
      </c>
      <c r="R92" s="258">
        <v>0</v>
      </c>
      <c r="S92" s="33">
        <v>3</v>
      </c>
      <c r="T92" s="258">
        <v>0</v>
      </c>
      <c r="U92" s="33">
        <v>3</v>
      </c>
      <c r="V92" s="258">
        <v>0</v>
      </c>
      <c r="W92" s="238"/>
      <c r="X92" s="239"/>
      <c r="Y92" s="185" t="s">
        <v>2338</v>
      </c>
    </row>
    <row r="93" spans="2:25" ht="51" x14ac:dyDescent="0.25">
      <c r="B93" s="1998"/>
      <c r="C93" s="12"/>
      <c r="D93" s="12"/>
      <c r="E93" s="12"/>
      <c r="F93" s="12"/>
      <c r="G93" s="30" t="s">
        <v>2439</v>
      </c>
      <c r="H93" s="30" t="s">
        <v>2440</v>
      </c>
      <c r="I93" s="32" t="s">
        <v>75</v>
      </c>
      <c r="J93" s="43"/>
      <c r="K93" s="34">
        <v>2</v>
      </c>
      <c r="L93" s="35">
        <v>35000</v>
      </c>
      <c r="M93" s="259">
        <v>2</v>
      </c>
      <c r="N93" s="238">
        <v>38500</v>
      </c>
      <c r="O93" s="238">
        <v>2</v>
      </c>
      <c r="P93" s="259">
        <v>42350</v>
      </c>
      <c r="Q93" s="238">
        <v>2</v>
      </c>
      <c r="R93" s="238">
        <v>46585</v>
      </c>
      <c r="S93" s="238">
        <v>2</v>
      </c>
      <c r="T93" s="238">
        <v>51243.5</v>
      </c>
      <c r="U93" s="238">
        <v>2</v>
      </c>
      <c r="V93" s="238">
        <v>56367.85</v>
      </c>
      <c r="W93" s="238"/>
      <c r="X93" s="239"/>
      <c r="Y93" s="185" t="s">
        <v>2338</v>
      </c>
    </row>
    <row r="94" spans="2:25" ht="72" x14ac:dyDescent="0.25">
      <c r="B94" s="1998"/>
      <c r="C94" s="12"/>
      <c r="D94" s="12"/>
      <c r="E94" s="12"/>
      <c r="F94" s="45"/>
      <c r="G94" s="38" t="s">
        <v>408</v>
      </c>
      <c r="H94" s="38" t="s">
        <v>78</v>
      </c>
      <c r="I94" s="189" t="s">
        <v>79</v>
      </c>
      <c r="J94" s="235">
        <v>25</v>
      </c>
      <c r="K94" s="199">
        <v>7</v>
      </c>
      <c r="L94" s="240">
        <f>SUM(L95)</f>
        <v>80000</v>
      </c>
      <c r="M94" s="240">
        <v>5</v>
      </c>
      <c r="N94" s="240">
        <f>SUM(N95)</f>
        <v>88000</v>
      </c>
      <c r="O94" s="240">
        <v>5</v>
      </c>
      <c r="P94" s="240">
        <f>SUM(P95)</f>
        <v>96800</v>
      </c>
      <c r="Q94" s="240">
        <v>5</v>
      </c>
      <c r="R94" s="240">
        <f>SUM(R95)</f>
        <v>106480</v>
      </c>
      <c r="S94" s="240">
        <v>5</v>
      </c>
      <c r="T94" s="240">
        <f>SUM(T95)</f>
        <v>117128</v>
      </c>
      <c r="U94" s="240">
        <v>6</v>
      </c>
      <c r="V94" s="240">
        <f>SUM(V95)</f>
        <v>128840.8</v>
      </c>
      <c r="W94" s="240">
        <v>33</v>
      </c>
      <c r="X94" s="241"/>
      <c r="Y94" s="185" t="s">
        <v>2338</v>
      </c>
    </row>
    <row r="95" spans="2:25" ht="76.5" x14ac:dyDescent="0.25">
      <c r="B95" s="1998"/>
      <c r="C95" s="12"/>
      <c r="D95" s="12"/>
      <c r="E95" s="12"/>
      <c r="F95" s="12"/>
      <c r="G95" s="30" t="s">
        <v>2441</v>
      </c>
      <c r="H95" s="30" t="s">
        <v>2442</v>
      </c>
      <c r="I95" s="32" t="s">
        <v>79</v>
      </c>
      <c r="J95" s="33"/>
      <c r="K95" s="34">
        <v>7</v>
      </c>
      <c r="L95" s="35">
        <v>80000</v>
      </c>
      <c r="M95" s="34">
        <v>5</v>
      </c>
      <c r="N95" s="238">
        <v>88000</v>
      </c>
      <c r="O95" s="34">
        <v>5</v>
      </c>
      <c r="P95" s="259">
        <v>96800</v>
      </c>
      <c r="Q95" s="34">
        <v>5</v>
      </c>
      <c r="R95" s="238">
        <v>106480</v>
      </c>
      <c r="S95" s="34">
        <v>5</v>
      </c>
      <c r="T95" s="238">
        <v>117128</v>
      </c>
      <c r="U95" s="34">
        <v>6</v>
      </c>
      <c r="V95" s="238">
        <v>128840.8</v>
      </c>
      <c r="W95" s="238"/>
      <c r="X95" s="239"/>
      <c r="Y95" s="185" t="s">
        <v>2338</v>
      </c>
    </row>
    <row r="96" spans="2:25" ht="72" x14ac:dyDescent="0.25">
      <c r="B96" s="1998"/>
      <c r="C96" s="12"/>
      <c r="D96" s="12"/>
      <c r="E96" s="12"/>
      <c r="F96" s="45"/>
      <c r="G96" s="38" t="s">
        <v>1507</v>
      </c>
      <c r="H96" s="39" t="s">
        <v>1508</v>
      </c>
      <c r="I96" s="40" t="s">
        <v>79</v>
      </c>
      <c r="J96" s="235">
        <v>0</v>
      </c>
      <c r="K96" s="243">
        <v>1</v>
      </c>
      <c r="L96" s="240">
        <f>SUM(L97)</f>
        <v>40000</v>
      </c>
      <c r="M96" s="243">
        <v>1</v>
      </c>
      <c r="N96" s="240">
        <f>SUM(N97)</f>
        <v>50000</v>
      </c>
      <c r="O96" s="243">
        <v>1</v>
      </c>
      <c r="P96" s="240">
        <f>SUM(P97)</f>
        <v>60000</v>
      </c>
      <c r="Q96" s="243">
        <v>1</v>
      </c>
      <c r="R96" s="240">
        <f>SUM(R97)</f>
        <v>70000</v>
      </c>
      <c r="S96" s="243">
        <v>1</v>
      </c>
      <c r="T96" s="240">
        <f>SUM(T97)</f>
        <v>80000</v>
      </c>
      <c r="U96" s="243">
        <v>1</v>
      </c>
      <c r="V96" s="240">
        <f>SUM(V97)</f>
        <v>90000</v>
      </c>
      <c r="W96" s="240">
        <v>6</v>
      </c>
      <c r="X96" s="241"/>
      <c r="Y96" s="185" t="s">
        <v>2338</v>
      </c>
    </row>
    <row r="97" spans="2:25" ht="89.25" x14ac:dyDescent="0.25">
      <c r="B97" s="1999"/>
      <c r="C97" s="13"/>
      <c r="D97" s="13"/>
      <c r="E97" s="13"/>
      <c r="F97" s="13"/>
      <c r="G97" s="30" t="s">
        <v>169</v>
      </c>
      <c r="H97" s="30" t="s">
        <v>2443</v>
      </c>
      <c r="I97" s="32" t="s">
        <v>79</v>
      </c>
      <c r="J97" s="33"/>
      <c r="K97" s="34">
        <v>1</v>
      </c>
      <c r="L97" s="35">
        <v>40000</v>
      </c>
      <c r="M97" s="34">
        <v>1</v>
      </c>
      <c r="N97" s="35">
        <v>50000</v>
      </c>
      <c r="O97" s="34">
        <v>1</v>
      </c>
      <c r="P97" s="35">
        <v>60000</v>
      </c>
      <c r="Q97" s="34">
        <v>1</v>
      </c>
      <c r="R97" s="35">
        <v>70000</v>
      </c>
      <c r="S97" s="34">
        <v>1</v>
      </c>
      <c r="T97" s="35">
        <v>80000</v>
      </c>
      <c r="U97" s="34">
        <v>1</v>
      </c>
      <c r="V97" s="35">
        <v>90000</v>
      </c>
      <c r="W97" s="238"/>
      <c r="X97" s="239"/>
      <c r="Y97" s="185" t="s">
        <v>2338</v>
      </c>
    </row>
    <row r="98" spans="2:25" ht="13.5" thickBot="1" x14ac:dyDescent="0.3">
      <c r="B98" s="2001" t="s">
        <v>2279</v>
      </c>
      <c r="C98" s="2002"/>
      <c r="D98" s="2002"/>
      <c r="E98" s="2002"/>
      <c r="F98" s="2002"/>
      <c r="G98" s="260"/>
      <c r="H98" s="261"/>
      <c r="I98" s="262"/>
      <c r="J98" s="263"/>
      <c r="K98" s="264"/>
      <c r="L98" s="265">
        <f>SUM(L6:L97)/2</f>
        <v>10897522</v>
      </c>
      <c r="M98" s="266"/>
      <c r="N98" s="265">
        <f>SUM(N6:N97)/2</f>
        <v>11539506.199999999</v>
      </c>
      <c r="O98" s="266"/>
      <c r="P98" s="265">
        <f>SUM(P6:P97)/2</f>
        <v>14596738.620000001</v>
      </c>
      <c r="Q98" s="266"/>
      <c r="R98" s="265">
        <f>SUM(R6:R97)/2</f>
        <v>17177315.482000001</v>
      </c>
      <c r="S98" s="266"/>
      <c r="T98" s="265">
        <f>SUM(T6:T97)/2</f>
        <v>22219547.030199997</v>
      </c>
      <c r="U98" s="266"/>
      <c r="V98" s="265">
        <f>SUM(V6:V97)/2</f>
        <v>22431001.733219996</v>
      </c>
      <c r="W98" s="266"/>
      <c r="X98" s="267"/>
      <c r="Y98" s="267"/>
    </row>
    <row r="99" spans="2:25" ht="13.5" thickTop="1" x14ac:dyDescent="0.25">
      <c r="L99" s="534"/>
    </row>
    <row r="100" spans="2:25" ht="13.5" thickBot="1" x14ac:dyDescent="0.3">
      <c r="B100" s="246" t="s">
        <v>1364</v>
      </c>
    </row>
    <row r="101" spans="2:25" s="219" customFormat="1" thickTop="1" x14ac:dyDescent="0.2">
      <c r="B101" s="1932" t="s">
        <v>1</v>
      </c>
      <c r="C101" s="1934" t="s">
        <v>2</v>
      </c>
      <c r="D101" s="1934" t="s">
        <v>3</v>
      </c>
      <c r="E101" s="1934" t="s">
        <v>4</v>
      </c>
      <c r="F101" s="1934" t="s">
        <v>5</v>
      </c>
      <c r="G101" s="1934" t="s">
        <v>6</v>
      </c>
      <c r="H101" s="1934" t="s">
        <v>1854</v>
      </c>
      <c r="I101" s="1934" t="s">
        <v>31</v>
      </c>
      <c r="J101" s="1936" t="s">
        <v>1855</v>
      </c>
      <c r="K101" s="1934" t="s">
        <v>7</v>
      </c>
      <c r="L101" s="1934"/>
      <c r="M101" s="1934"/>
      <c r="N101" s="1934"/>
      <c r="O101" s="1934"/>
      <c r="P101" s="1934"/>
      <c r="Q101" s="1934"/>
      <c r="R101" s="1934"/>
      <c r="S101" s="1934"/>
      <c r="T101" s="1934"/>
      <c r="U101" s="1934"/>
      <c r="V101" s="1934"/>
      <c r="W101" s="1934"/>
      <c r="X101" s="1934" t="s">
        <v>8</v>
      </c>
      <c r="Y101" s="1938" t="s">
        <v>1856</v>
      </c>
    </row>
    <row r="102" spans="2:25" s="219" customFormat="1" ht="12" x14ac:dyDescent="0.2">
      <c r="B102" s="1933"/>
      <c r="C102" s="1935"/>
      <c r="D102" s="1935"/>
      <c r="E102" s="1935"/>
      <c r="F102" s="1935"/>
      <c r="G102" s="1935"/>
      <c r="H102" s="1935"/>
      <c r="I102" s="1935"/>
      <c r="J102" s="1937"/>
      <c r="K102" s="1935">
        <v>2016</v>
      </c>
      <c r="L102" s="1935"/>
      <c r="M102" s="1935">
        <v>2017</v>
      </c>
      <c r="N102" s="1935"/>
      <c r="O102" s="1935">
        <v>2018</v>
      </c>
      <c r="P102" s="1935"/>
      <c r="Q102" s="1935">
        <v>2019</v>
      </c>
      <c r="R102" s="1935"/>
      <c r="S102" s="1935">
        <v>2020</v>
      </c>
      <c r="T102" s="1935"/>
      <c r="U102" s="1935">
        <v>2021</v>
      </c>
      <c r="V102" s="1935"/>
      <c r="W102" s="1940" t="s">
        <v>1857</v>
      </c>
      <c r="X102" s="1935"/>
      <c r="Y102" s="1939"/>
    </row>
    <row r="103" spans="2:25" s="219" customFormat="1" ht="12" x14ac:dyDescent="0.2">
      <c r="B103" s="1933"/>
      <c r="C103" s="1935"/>
      <c r="D103" s="1935"/>
      <c r="E103" s="1935"/>
      <c r="F103" s="1935"/>
      <c r="G103" s="1935"/>
      <c r="H103" s="1935"/>
      <c r="I103" s="1935"/>
      <c r="J103" s="1937"/>
      <c r="K103" s="707" t="s">
        <v>1858</v>
      </c>
      <c r="L103" s="1889" t="s">
        <v>1355</v>
      </c>
      <c r="M103" s="844" t="s">
        <v>1858</v>
      </c>
      <c r="N103" s="1889" t="s">
        <v>1355</v>
      </c>
      <c r="O103" s="844" t="s">
        <v>1858</v>
      </c>
      <c r="P103" s="1889" t="s">
        <v>1355</v>
      </c>
      <c r="Q103" s="844" t="s">
        <v>1858</v>
      </c>
      <c r="R103" s="1889" t="s">
        <v>1355</v>
      </c>
      <c r="S103" s="844" t="s">
        <v>1858</v>
      </c>
      <c r="T103" s="1889" t="s">
        <v>1355</v>
      </c>
      <c r="U103" s="844" t="s">
        <v>1858</v>
      </c>
      <c r="V103" s="1889" t="s">
        <v>1355</v>
      </c>
      <c r="W103" s="1940"/>
      <c r="X103" s="1935"/>
      <c r="Y103" s="1939"/>
    </row>
    <row r="104" spans="2:25" s="246" customFormat="1" ht="74.25" customHeight="1" x14ac:dyDescent="0.2">
      <c r="B104" s="1994" t="s">
        <v>1357</v>
      </c>
      <c r="C104" s="62" t="s">
        <v>4029</v>
      </c>
      <c r="D104" s="183" t="s">
        <v>3956</v>
      </c>
      <c r="E104" s="62" t="s">
        <v>4028</v>
      </c>
      <c r="F104" s="172" t="s">
        <v>1361</v>
      </c>
      <c r="G104" s="976" t="s">
        <v>4030</v>
      </c>
      <c r="H104" s="38" t="s">
        <v>3174</v>
      </c>
      <c r="I104" s="268" t="s">
        <v>1363</v>
      </c>
      <c r="J104" s="269">
        <v>324436</v>
      </c>
      <c r="K104" s="270">
        <v>200000</v>
      </c>
      <c r="L104" s="271"/>
      <c r="M104" s="270">
        <v>210000</v>
      </c>
      <c r="N104" s="271"/>
      <c r="O104" s="269">
        <v>220000</v>
      </c>
      <c r="P104" s="271"/>
      <c r="Q104" s="269">
        <v>230000</v>
      </c>
      <c r="R104" s="271"/>
      <c r="S104" s="269">
        <v>240000</v>
      </c>
      <c r="T104" s="271"/>
      <c r="U104" s="269">
        <v>250000</v>
      </c>
      <c r="V104" s="271"/>
      <c r="W104" s="65">
        <f>U104</f>
        <v>250000</v>
      </c>
      <c r="X104" s="28"/>
      <c r="Y104" s="160" t="s">
        <v>1364</v>
      </c>
    </row>
    <row r="105" spans="2:25" ht="36" x14ac:dyDescent="0.25">
      <c r="B105" s="1995"/>
      <c r="C105" s="192"/>
      <c r="D105" s="192"/>
      <c r="E105" s="192"/>
      <c r="F105" s="47"/>
      <c r="G105" s="22" t="s">
        <v>1362</v>
      </c>
      <c r="H105" s="26" t="s">
        <v>1361</v>
      </c>
      <c r="I105" s="268" t="s">
        <v>1363</v>
      </c>
      <c r="J105" s="269">
        <v>324436</v>
      </c>
      <c r="K105" s="270">
        <v>200000</v>
      </c>
      <c r="L105" s="271">
        <f>SUM(L106:L114)</f>
        <v>655000</v>
      </c>
      <c r="M105" s="270">
        <v>210000</v>
      </c>
      <c r="N105" s="271">
        <f>SUM(N106:N114)</f>
        <v>715000</v>
      </c>
      <c r="O105" s="269">
        <v>220000</v>
      </c>
      <c r="P105" s="271">
        <f>SUM(P106:P114)</f>
        <v>782000</v>
      </c>
      <c r="Q105" s="269">
        <v>230000</v>
      </c>
      <c r="R105" s="271">
        <f>SUM(R106:R114)</f>
        <v>860200</v>
      </c>
      <c r="S105" s="269">
        <v>240000</v>
      </c>
      <c r="T105" s="271">
        <f>SUM(T106:T114)</f>
        <v>946220</v>
      </c>
      <c r="U105" s="269">
        <v>250000</v>
      </c>
      <c r="V105" s="271">
        <f>SUM(V106:V114)</f>
        <v>1044807</v>
      </c>
      <c r="W105" s="65">
        <f>U105</f>
        <v>250000</v>
      </c>
      <c r="X105" s="66"/>
      <c r="Y105" s="46" t="s">
        <v>1364</v>
      </c>
    </row>
    <row r="106" spans="2:25" ht="89.25" x14ac:dyDescent="0.25">
      <c r="B106" s="1995"/>
      <c r="C106" s="192"/>
      <c r="D106" s="192"/>
      <c r="E106" s="192"/>
      <c r="F106" s="47"/>
      <c r="G106" s="192" t="s">
        <v>2444</v>
      </c>
      <c r="H106" s="272" t="s">
        <v>2445</v>
      </c>
      <c r="I106" s="25" t="s">
        <v>103</v>
      </c>
      <c r="J106" s="273"/>
      <c r="K106" s="4">
        <v>1</v>
      </c>
      <c r="L106" s="48">
        <v>45000</v>
      </c>
      <c r="M106" s="4">
        <v>1</v>
      </c>
      <c r="N106" s="48">
        <v>45000</v>
      </c>
      <c r="O106" s="4">
        <v>1</v>
      </c>
      <c r="P106" s="48">
        <v>50000</v>
      </c>
      <c r="Q106" s="4">
        <v>1</v>
      </c>
      <c r="R106" s="48">
        <v>55000</v>
      </c>
      <c r="S106" s="4">
        <v>1</v>
      </c>
      <c r="T106" s="48">
        <v>60500</v>
      </c>
      <c r="U106" s="4">
        <v>1</v>
      </c>
      <c r="V106" s="48">
        <v>66000</v>
      </c>
      <c r="W106" s="49"/>
      <c r="X106" s="1986"/>
      <c r="Y106" s="46" t="s">
        <v>1364</v>
      </c>
    </row>
    <row r="107" spans="2:25" ht="76.5" x14ac:dyDescent="0.25">
      <c r="B107" s="1995"/>
      <c r="C107" s="192"/>
      <c r="D107" s="192"/>
      <c r="E107" s="192"/>
      <c r="F107" s="47"/>
      <c r="G107" s="192"/>
      <c r="H107" s="23" t="s">
        <v>2446</v>
      </c>
      <c r="I107" s="25" t="s">
        <v>103</v>
      </c>
      <c r="J107" s="273"/>
      <c r="K107" s="4">
        <v>0</v>
      </c>
      <c r="L107" s="50">
        <v>0</v>
      </c>
      <c r="M107" s="4">
        <v>1</v>
      </c>
      <c r="N107" s="50">
        <v>0</v>
      </c>
      <c r="O107" s="4">
        <v>0</v>
      </c>
      <c r="P107" s="50">
        <v>0</v>
      </c>
      <c r="Q107" s="4">
        <v>1</v>
      </c>
      <c r="R107" s="50">
        <v>0</v>
      </c>
      <c r="S107" s="4">
        <v>0</v>
      </c>
      <c r="T107" s="50">
        <v>0</v>
      </c>
      <c r="U107" s="4">
        <v>0</v>
      </c>
      <c r="V107" s="50">
        <v>0</v>
      </c>
      <c r="W107" s="49"/>
      <c r="X107" s="1986"/>
      <c r="Y107" s="46" t="s">
        <v>1364</v>
      </c>
    </row>
    <row r="108" spans="2:25" ht="63.75" x14ac:dyDescent="0.25">
      <c r="B108" s="1995"/>
      <c r="C108" s="192"/>
      <c r="D108" s="192"/>
      <c r="E108" s="192"/>
      <c r="F108" s="47"/>
      <c r="G108" s="60"/>
      <c r="H108" s="23" t="s">
        <v>2447</v>
      </c>
      <c r="I108" s="25" t="s">
        <v>40</v>
      </c>
      <c r="J108" s="273"/>
      <c r="K108" s="4">
        <v>12</v>
      </c>
      <c r="L108" s="51">
        <v>0</v>
      </c>
      <c r="M108" s="4">
        <v>12</v>
      </c>
      <c r="N108" s="51">
        <v>0</v>
      </c>
      <c r="O108" s="4">
        <v>12</v>
      </c>
      <c r="P108" s="51">
        <v>0</v>
      </c>
      <c r="Q108" s="4">
        <v>12</v>
      </c>
      <c r="R108" s="51">
        <v>0</v>
      </c>
      <c r="S108" s="4">
        <v>12</v>
      </c>
      <c r="T108" s="51">
        <v>0</v>
      </c>
      <c r="U108" s="4">
        <v>12</v>
      </c>
      <c r="V108" s="51">
        <v>0</v>
      </c>
      <c r="W108" s="49"/>
      <c r="X108" s="1986"/>
      <c r="Y108" s="46" t="s">
        <v>1364</v>
      </c>
    </row>
    <row r="109" spans="2:25" ht="165.75" x14ac:dyDescent="0.25">
      <c r="B109" s="1995"/>
      <c r="C109" s="192"/>
      <c r="D109" s="192"/>
      <c r="E109" s="192"/>
      <c r="F109" s="47"/>
      <c r="G109" s="23" t="s">
        <v>2448</v>
      </c>
      <c r="H109" s="23" t="s">
        <v>2449</v>
      </c>
      <c r="I109" s="25" t="s">
        <v>69</v>
      </c>
      <c r="J109" s="55">
        <v>2</v>
      </c>
      <c r="K109" s="52">
        <v>2</v>
      </c>
      <c r="L109" s="53">
        <v>250000</v>
      </c>
      <c r="M109" s="52">
        <v>2</v>
      </c>
      <c r="N109" s="53">
        <v>250000</v>
      </c>
      <c r="O109" s="52">
        <v>2</v>
      </c>
      <c r="P109" s="53">
        <v>275000</v>
      </c>
      <c r="Q109" s="52">
        <v>2</v>
      </c>
      <c r="R109" s="53">
        <v>302500</v>
      </c>
      <c r="S109" s="52">
        <v>2</v>
      </c>
      <c r="T109" s="53">
        <v>332750</v>
      </c>
      <c r="U109" s="52">
        <v>2</v>
      </c>
      <c r="V109" s="53">
        <v>366025</v>
      </c>
      <c r="W109" s="49"/>
      <c r="X109" s="54"/>
      <c r="Y109" s="46" t="s">
        <v>1364</v>
      </c>
    </row>
    <row r="110" spans="2:25" ht="191.25" x14ac:dyDescent="0.25">
      <c r="B110" s="1995"/>
      <c r="C110" s="192"/>
      <c r="D110" s="192"/>
      <c r="E110" s="192"/>
      <c r="F110" s="47"/>
      <c r="G110" s="23" t="s">
        <v>2450</v>
      </c>
      <c r="H110" s="23" t="s">
        <v>2451</v>
      </c>
      <c r="I110" s="25" t="s">
        <v>275</v>
      </c>
      <c r="J110" s="55">
        <v>20</v>
      </c>
      <c r="K110" s="4">
        <v>3</v>
      </c>
      <c r="L110" s="53">
        <v>90000</v>
      </c>
      <c r="M110" s="4">
        <v>3</v>
      </c>
      <c r="N110" s="53">
        <v>116000</v>
      </c>
      <c r="O110" s="4">
        <v>3</v>
      </c>
      <c r="P110" s="53">
        <v>125000</v>
      </c>
      <c r="Q110" s="4">
        <v>3</v>
      </c>
      <c r="R110" s="53">
        <v>137500</v>
      </c>
      <c r="S110" s="4">
        <v>3</v>
      </c>
      <c r="T110" s="53">
        <v>151250</v>
      </c>
      <c r="U110" s="4">
        <v>3</v>
      </c>
      <c r="V110" s="53">
        <v>160000</v>
      </c>
      <c r="W110" s="49"/>
      <c r="X110" s="54"/>
      <c r="Y110" s="46" t="s">
        <v>1364</v>
      </c>
    </row>
    <row r="111" spans="2:25" ht="102" x14ac:dyDescent="0.25">
      <c r="B111" s="1995"/>
      <c r="C111" s="192"/>
      <c r="D111" s="192"/>
      <c r="E111" s="192"/>
      <c r="F111" s="47"/>
      <c r="G111" s="23" t="s">
        <v>2452</v>
      </c>
      <c r="H111" s="23" t="s">
        <v>2453</v>
      </c>
      <c r="I111" s="25" t="s">
        <v>40</v>
      </c>
      <c r="J111" s="4">
        <v>12</v>
      </c>
      <c r="K111" s="4">
        <v>12</v>
      </c>
      <c r="L111" s="53">
        <v>35000</v>
      </c>
      <c r="M111" s="4">
        <v>12</v>
      </c>
      <c r="N111" s="53">
        <v>40000</v>
      </c>
      <c r="O111" s="4">
        <v>12</v>
      </c>
      <c r="P111" s="53">
        <v>45000</v>
      </c>
      <c r="Q111" s="4">
        <v>12</v>
      </c>
      <c r="R111" s="53">
        <v>49500</v>
      </c>
      <c r="S111" s="4">
        <v>12</v>
      </c>
      <c r="T111" s="53">
        <v>54450</v>
      </c>
      <c r="U111" s="4">
        <v>12</v>
      </c>
      <c r="V111" s="53">
        <v>59895</v>
      </c>
      <c r="W111" s="49"/>
      <c r="X111" s="54"/>
      <c r="Y111" s="46" t="s">
        <v>1364</v>
      </c>
    </row>
    <row r="112" spans="2:25" ht="114.75" x14ac:dyDescent="0.25">
      <c r="B112" s="1995"/>
      <c r="C112" s="192"/>
      <c r="D112" s="192"/>
      <c r="E112" s="192"/>
      <c r="F112" s="47"/>
      <c r="G112" s="23" t="s">
        <v>2454</v>
      </c>
      <c r="H112" s="23" t="s">
        <v>2455</v>
      </c>
      <c r="I112" s="25" t="s">
        <v>2401</v>
      </c>
      <c r="J112" s="4">
        <v>100</v>
      </c>
      <c r="K112" s="4">
        <v>20</v>
      </c>
      <c r="L112" s="53">
        <v>35000</v>
      </c>
      <c r="M112" s="4">
        <v>20</v>
      </c>
      <c r="N112" s="53">
        <v>39000</v>
      </c>
      <c r="O112" s="4">
        <v>20</v>
      </c>
      <c r="P112" s="53">
        <v>42000</v>
      </c>
      <c r="Q112" s="4">
        <v>20</v>
      </c>
      <c r="R112" s="53">
        <v>46200</v>
      </c>
      <c r="S112" s="4">
        <v>20</v>
      </c>
      <c r="T112" s="53">
        <v>50820</v>
      </c>
      <c r="U112" s="4">
        <v>20</v>
      </c>
      <c r="V112" s="53">
        <v>55902</v>
      </c>
      <c r="W112" s="49"/>
      <c r="X112" s="54"/>
      <c r="Y112" s="46" t="s">
        <v>1364</v>
      </c>
    </row>
    <row r="113" spans="2:25" ht="38.25" x14ac:dyDescent="0.25">
      <c r="B113" s="1995"/>
      <c r="C113" s="192"/>
      <c r="D113" s="192"/>
      <c r="E113" s="192"/>
      <c r="F113" s="47"/>
      <c r="G113" s="23" t="s">
        <v>2456</v>
      </c>
      <c r="H113" s="23" t="s">
        <v>2457</v>
      </c>
      <c r="I113" s="25" t="s">
        <v>103</v>
      </c>
      <c r="J113" s="4"/>
      <c r="K113" s="4">
        <v>3</v>
      </c>
      <c r="L113" s="53">
        <v>125000</v>
      </c>
      <c r="M113" s="4">
        <v>3</v>
      </c>
      <c r="N113" s="53">
        <v>147000</v>
      </c>
      <c r="O113" s="4">
        <v>3</v>
      </c>
      <c r="P113" s="53">
        <v>155000</v>
      </c>
      <c r="Q113" s="4">
        <v>3</v>
      </c>
      <c r="R113" s="53">
        <v>170500</v>
      </c>
      <c r="S113" s="4">
        <v>3</v>
      </c>
      <c r="T113" s="53">
        <v>187550</v>
      </c>
      <c r="U113" s="4">
        <v>3</v>
      </c>
      <c r="V113" s="53">
        <v>206305</v>
      </c>
      <c r="W113" s="49"/>
      <c r="X113" s="54"/>
      <c r="Y113" s="46" t="s">
        <v>1364</v>
      </c>
    </row>
    <row r="114" spans="2:25" ht="127.5" x14ac:dyDescent="0.25">
      <c r="B114" s="1995"/>
      <c r="C114" s="192"/>
      <c r="D114" s="192"/>
      <c r="E114" s="192"/>
      <c r="F114" s="47"/>
      <c r="G114" s="23" t="s">
        <v>107</v>
      </c>
      <c r="H114" s="57" t="s">
        <v>2458</v>
      </c>
      <c r="I114" s="58" t="s">
        <v>2401</v>
      </c>
      <c r="J114" s="4">
        <v>100</v>
      </c>
      <c r="K114" s="4">
        <v>20</v>
      </c>
      <c r="L114" s="53">
        <v>75000</v>
      </c>
      <c r="M114" s="4">
        <v>20</v>
      </c>
      <c r="N114" s="53">
        <v>78000</v>
      </c>
      <c r="O114" s="4">
        <v>20</v>
      </c>
      <c r="P114" s="53">
        <v>90000</v>
      </c>
      <c r="Q114" s="4">
        <v>20</v>
      </c>
      <c r="R114" s="274">
        <v>99000</v>
      </c>
      <c r="S114" s="4">
        <v>20</v>
      </c>
      <c r="T114" s="274">
        <v>108900</v>
      </c>
      <c r="U114" s="4">
        <v>20</v>
      </c>
      <c r="V114" s="274">
        <v>130680</v>
      </c>
      <c r="W114" s="49"/>
      <c r="X114" s="54"/>
      <c r="Y114" s="46" t="s">
        <v>1364</v>
      </c>
    </row>
    <row r="115" spans="2:25" x14ac:dyDescent="0.25">
      <c r="B115" s="1995"/>
      <c r="C115" s="192"/>
      <c r="D115" s="192"/>
      <c r="E115" s="192"/>
      <c r="F115" s="22"/>
      <c r="G115" s="23"/>
      <c r="H115" s="57"/>
      <c r="I115" s="58"/>
      <c r="J115" s="4"/>
      <c r="K115" s="4"/>
      <c r="L115" s="53"/>
      <c r="M115" s="4"/>
      <c r="N115" s="53"/>
      <c r="O115" s="4"/>
      <c r="P115" s="53"/>
      <c r="Q115" s="4"/>
      <c r="R115" s="274"/>
      <c r="S115" s="4"/>
      <c r="T115" s="274"/>
      <c r="U115" s="4"/>
      <c r="V115" s="274"/>
      <c r="W115" s="49"/>
      <c r="X115" s="54"/>
      <c r="Y115" s="46"/>
    </row>
    <row r="116" spans="2:25" ht="72" x14ac:dyDescent="0.25">
      <c r="B116" s="1995"/>
      <c r="C116" s="192"/>
      <c r="D116" s="192"/>
      <c r="E116" s="192"/>
      <c r="F116" s="172" t="s">
        <v>3959</v>
      </c>
      <c r="G116" s="1774" t="s">
        <v>3959</v>
      </c>
      <c r="H116" s="57"/>
      <c r="I116" s="275" t="s">
        <v>313</v>
      </c>
      <c r="J116" s="276" t="s">
        <v>1367</v>
      </c>
      <c r="K116" s="277" t="s">
        <v>1368</v>
      </c>
      <c r="L116" s="271"/>
      <c r="M116" s="5" t="s">
        <v>1369</v>
      </c>
      <c r="N116" s="271"/>
      <c r="O116" s="278" t="s">
        <v>1370</v>
      </c>
      <c r="P116" s="271"/>
      <c r="Q116" s="278" t="s">
        <v>1371</v>
      </c>
      <c r="R116" s="271"/>
      <c r="S116" s="278" t="s">
        <v>1372</v>
      </c>
      <c r="T116" s="271"/>
      <c r="U116" s="278" t="s">
        <v>1373</v>
      </c>
      <c r="V116" s="271"/>
      <c r="W116" s="278" t="s">
        <v>1372</v>
      </c>
      <c r="X116" s="54"/>
      <c r="Y116" s="46" t="s">
        <v>1364</v>
      </c>
    </row>
    <row r="117" spans="2:25" ht="72" x14ac:dyDescent="0.25">
      <c r="B117" s="1995"/>
      <c r="C117" s="192"/>
      <c r="D117" s="192"/>
      <c r="E117" s="192"/>
      <c r="F117" s="47"/>
      <c r="G117" s="26" t="s">
        <v>1366</v>
      </c>
      <c r="H117" s="22" t="s">
        <v>1365</v>
      </c>
      <c r="I117" s="275" t="s">
        <v>313</v>
      </c>
      <c r="J117" s="276" t="s">
        <v>1367</v>
      </c>
      <c r="K117" s="277" t="s">
        <v>1368</v>
      </c>
      <c r="L117" s="271">
        <f>SUM(L118:L120)</f>
        <v>269000</v>
      </c>
      <c r="M117" s="5" t="s">
        <v>1369</v>
      </c>
      <c r="N117" s="271">
        <f>SUM(N118:N120)</f>
        <v>322000</v>
      </c>
      <c r="O117" s="278" t="s">
        <v>1370</v>
      </c>
      <c r="P117" s="271">
        <f>SUM(P118:P120)</f>
        <v>350000</v>
      </c>
      <c r="Q117" s="278" t="s">
        <v>1371</v>
      </c>
      <c r="R117" s="271">
        <f>SUM(R118:R120)</f>
        <v>380000</v>
      </c>
      <c r="S117" s="278" t="s">
        <v>1372</v>
      </c>
      <c r="T117" s="271">
        <f>SUM(T118:T120)</f>
        <v>413000</v>
      </c>
      <c r="U117" s="278" t="s">
        <v>1373</v>
      </c>
      <c r="V117" s="271">
        <f>SUM(V118:V120)</f>
        <v>448010</v>
      </c>
      <c r="W117" s="278" t="s">
        <v>1372</v>
      </c>
      <c r="X117" s="54"/>
      <c r="Y117" s="46" t="s">
        <v>1364</v>
      </c>
    </row>
    <row r="118" spans="2:25" ht="63.75" x14ac:dyDescent="0.25">
      <c r="B118" s="1995"/>
      <c r="C118" s="192"/>
      <c r="D118" s="192"/>
      <c r="E118" s="192"/>
      <c r="F118" s="47"/>
      <c r="G118" s="59" t="s">
        <v>2459</v>
      </c>
      <c r="H118" s="57" t="s">
        <v>2460</v>
      </c>
      <c r="I118" s="58" t="s">
        <v>2461</v>
      </c>
      <c r="J118" s="4">
        <v>2180</v>
      </c>
      <c r="K118" s="4">
        <v>2186</v>
      </c>
      <c r="L118" s="48">
        <v>75000</v>
      </c>
      <c r="M118" s="4">
        <v>2186</v>
      </c>
      <c r="N118" s="48">
        <v>128000</v>
      </c>
      <c r="O118" s="4">
        <v>2200</v>
      </c>
      <c r="P118" s="48">
        <v>140000</v>
      </c>
      <c r="Q118" s="61">
        <v>2300</v>
      </c>
      <c r="R118" s="279">
        <v>149000</v>
      </c>
      <c r="S118" s="61">
        <v>2500</v>
      </c>
      <c r="T118" s="279">
        <v>158900</v>
      </c>
      <c r="U118" s="61">
        <v>2500</v>
      </c>
      <c r="V118" s="279">
        <v>164110</v>
      </c>
      <c r="W118" s="49">
        <v>11372</v>
      </c>
      <c r="X118" s="1986"/>
      <c r="Y118" s="46" t="s">
        <v>1364</v>
      </c>
    </row>
    <row r="119" spans="2:25" ht="38.25" x14ac:dyDescent="0.25">
      <c r="B119" s="1995"/>
      <c r="C119" s="192"/>
      <c r="D119" s="192"/>
      <c r="E119" s="192"/>
      <c r="F119" s="47"/>
      <c r="G119" s="60"/>
      <c r="H119" s="57" t="s">
        <v>2462</v>
      </c>
      <c r="I119" s="58" t="s">
        <v>103</v>
      </c>
      <c r="J119" s="4">
        <v>2</v>
      </c>
      <c r="K119" s="61">
        <v>2</v>
      </c>
      <c r="L119" s="51">
        <v>0</v>
      </c>
      <c r="M119" s="61">
        <v>2</v>
      </c>
      <c r="N119" s="51">
        <v>0</v>
      </c>
      <c r="O119" s="61">
        <v>2</v>
      </c>
      <c r="P119" s="51">
        <v>0</v>
      </c>
      <c r="Q119" s="280">
        <v>2</v>
      </c>
      <c r="R119" s="281">
        <v>0</v>
      </c>
      <c r="S119" s="280">
        <v>2</v>
      </c>
      <c r="T119" s="281">
        <v>0</v>
      </c>
      <c r="U119" s="280">
        <v>2</v>
      </c>
      <c r="V119" s="281">
        <v>0</v>
      </c>
      <c r="W119" s="49">
        <v>10</v>
      </c>
      <c r="X119" s="1986"/>
      <c r="Y119" s="46" t="s">
        <v>1364</v>
      </c>
    </row>
    <row r="120" spans="2:25" ht="25.5" x14ac:dyDescent="0.25">
      <c r="B120" s="1995"/>
      <c r="C120" s="60"/>
      <c r="D120" s="60"/>
      <c r="E120" s="60"/>
      <c r="F120" s="47"/>
      <c r="G120" s="23" t="s">
        <v>2463</v>
      </c>
      <c r="H120" s="57" t="s">
        <v>2464</v>
      </c>
      <c r="I120" s="58" t="s">
        <v>79</v>
      </c>
      <c r="J120" s="4"/>
      <c r="K120" s="61">
        <v>2646</v>
      </c>
      <c r="L120" s="51">
        <v>194000</v>
      </c>
      <c r="M120" s="61">
        <v>2675</v>
      </c>
      <c r="N120" s="51">
        <v>194000</v>
      </c>
      <c r="O120" s="61">
        <v>2950</v>
      </c>
      <c r="P120" s="51">
        <v>210000</v>
      </c>
      <c r="Q120" s="280">
        <v>3237</v>
      </c>
      <c r="R120" s="281">
        <v>231000</v>
      </c>
      <c r="S120" s="280">
        <v>3560</v>
      </c>
      <c r="T120" s="281">
        <v>254100</v>
      </c>
      <c r="U120" s="280">
        <v>3916</v>
      </c>
      <c r="V120" s="281">
        <v>283900</v>
      </c>
      <c r="W120" s="49">
        <v>844068</v>
      </c>
      <c r="X120" s="54"/>
      <c r="Y120" s="46" t="s">
        <v>1364</v>
      </c>
    </row>
    <row r="121" spans="2:25" x14ac:dyDescent="0.25">
      <c r="B121" s="1995"/>
      <c r="C121" s="193"/>
      <c r="D121" s="193"/>
      <c r="E121" s="193"/>
      <c r="F121" s="22"/>
      <c r="G121" s="282"/>
      <c r="H121" s="283"/>
      <c r="I121" s="284"/>
      <c r="J121" s="207"/>
      <c r="K121" s="285"/>
      <c r="L121" s="286"/>
      <c r="M121" s="285"/>
      <c r="N121" s="286"/>
      <c r="O121" s="285"/>
      <c r="P121" s="286"/>
      <c r="Q121" s="287"/>
      <c r="R121" s="288"/>
      <c r="S121" s="287"/>
      <c r="T121" s="288"/>
      <c r="U121" s="287"/>
      <c r="V121" s="288"/>
      <c r="W121" s="289"/>
      <c r="X121" s="54"/>
      <c r="Y121" s="46" t="s">
        <v>1364</v>
      </c>
    </row>
    <row r="122" spans="2:25" ht="48" customHeight="1" x14ac:dyDescent="0.25">
      <c r="B122" s="1995"/>
      <c r="C122" s="1988" t="s">
        <v>1383</v>
      </c>
      <c r="D122" s="1988" t="s">
        <v>4031</v>
      </c>
      <c r="E122" s="1988" t="s">
        <v>4032</v>
      </c>
      <c r="F122" s="172" t="s">
        <v>4034</v>
      </c>
      <c r="G122" s="976" t="s">
        <v>4033</v>
      </c>
      <c r="H122" s="38"/>
      <c r="I122" s="293" t="s">
        <v>19</v>
      </c>
      <c r="J122" s="5">
        <v>1718</v>
      </c>
      <c r="K122" s="294">
        <v>1059</v>
      </c>
      <c r="L122" s="655"/>
      <c r="M122" s="29">
        <v>2088</v>
      </c>
      <c r="N122" s="655"/>
      <c r="O122" s="5">
        <v>2088</v>
      </c>
      <c r="P122" s="655"/>
      <c r="Q122" s="29">
        <v>2299</v>
      </c>
      <c r="R122" s="29"/>
      <c r="S122" s="5">
        <v>2380</v>
      </c>
      <c r="T122" s="29"/>
      <c r="U122" s="29">
        <v>2413</v>
      </c>
      <c r="V122" s="29"/>
      <c r="W122" s="29">
        <v>2413</v>
      </c>
      <c r="X122" s="54"/>
      <c r="Y122" s="46" t="s">
        <v>1364</v>
      </c>
    </row>
    <row r="123" spans="2:25" ht="48" x14ac:dyDescent="0.25">
      <c r="B123" s="1995"/>
      <c r="C123" s="1989"/>
      <c r="D123" s="1989"/>
      <c r="E123" s="1989"/>
      <c r="F123" s="47"/>
      <c r="G123" s="26" t="s">
        <v>1385</v>
      </c>
      <c r="H123" s="292" t="s">
        <v>1384</v>
      </c>
      <c r="I123" s="293" t="s">
        <v>19</v>
      </c>
      <c r="J123" s="5">
        <v>100</v>
      </c>
      <c r="K123" s="294">
        <v>19.239999999999998</v>
      </c>
      <c r="L123" s="29">
        <f>SUM(L124)</f>
        <v>75000</v>
      </c>
      <c r="M123" s="5">
        <v>19.38</v>
      </c>
      <c r="N123" s="29">
        <f>SUM(N124)</f>
        <v>82500</v>
      </c>
      <c r="O123" s="5">
        <v>19.55</v>
      </c>
      <c r="P123" s="29">
        <f>SUM(P124)</f>
        <v>90750</v>
      </c>
      <c r="Q123" s="5">
        <v>20.23</v>
      </c>
      <c r="R123" s="29">
        <f>SUM(R124)</f>
        <v>100000</v>
      </c>
      <c r="S123" s="5">
        <v>21.57</v>
      </c>
      <c r="T123" s="29">
        <f>SUM(T124)</f>
        <v>110000</v>
      </c>
      <c r="U123" s="5">
        <v>23.72</v>
      </c>
      <c r="V123" s="29">
        <f>SUM(V124)</f>
        <v>121000</v>
      </c>
      <c r="W123" s="28">
        <v>99.969999999999985</v>
      </c>
      <c r="X123" s="295"/>
      <c r="Y123" s="46" t="s">
        <v>1364</v>
      </c>
    </row>
    <row r="124" spans="2:25" ht="102.75" thickBot="1" x14ac:dyDescent="0.3">
      <c r="B124" s="1996"/>
      <c r="C124" s="1990"/>
      <c r="D124" s="1990"/>
      <c r="E124" s="1990"/>
      <c r="F124" s="56"/>
      <c r="G124" s="23" t="s">
        <v>2465</v>
      </c>
      <c r="H124" s="57" t="s">
        <v>2466</v>
      </c>
      <c r="I124" s="58" t="s">
        <v>2461</v>
      </c>
      <c r="J124" s="4">
        <v>2854</v>
      </c>
      <c r="K124" s="4">
        <v>2854</v>
      </c>
      <c r="L124" s="53">
        <v>75000</v>
      </c>
      <c r="M124" s="4">
        <v>2875</v>
      </c>
      <c r="N124" s="53">
        <v>82500</v>
      </c>
      <c r="O124" s="4">
        <v>2900</v>
      </c>
      <c r="P124" s="53">
        <v>90750</v>
      </c>
      <c r="Q124" s="61">
        <v>3000</v>
      </c>
      <c r="R124" s="274">
        <v>100000</v>
      </c>
      <c r="S124" s="61">
        <v>3200</v>
      </c>
      <c r="T124" s="274">
        <v>110000</v>
      </c>
      <c r="U124" s="61">
        <v>3200</v>
      </c>
      <c r="V124" s="274">
        <v>121000</v>
      </c>
      <c r="W124" s="49">
        <v>14829</v>
      </c>
      <c r="X124" s="63"/>
      <c r="Y124" s="46" t="s">
        <v>1364</v>
      </c>
    </row>
    <row r="125" spans="2:25" ht="13.5" thickTop="1" x14ac:dyDescent="0.25">
      <c r="B125" s="296"/>
      <c r="C125" s="272"/>
      <c r="D125" s="272"/>
      <c r="E125" s="272"/>
      <c r="F125" s="47"/>
      <c r="G125" s="23"/>
      <c r="H125" s="57"/>
      <c r="I125" s="58"/>
      <c r="J125" s="4"/>
      <c r="K125" s="4"/>
      <c r="L125" s="53"/>
      <c r="M125" s="4"/>
      <c r="N125" s="53"/>
      <c r="O125" s="4"/>
      <c r="P125" s="53"/>
      <c r="Q125" s="61"/>
      <c r="R125" s="274"/>
      <c r="S125" s="61"/>
      <c r="T125" s="274"/>
      <c r="U125" s="61"/>
      <c r="V125" s="274"/>
      <c r="W125" s="49"/>
      <c r="X125" s="295"/>
      <c r="Y125" s="46" t="s">
        <v>1364</v>
      </c>
    </row>
    <row r="126" spans="2:25" ht="60" customHeight="1" x14ac:dyDescent="0.25">
      <c r="B126" s="1987" t="s">
        <v>33</v>
      </c>
      <c r="C126" s="1946" t="s">
        <v>34</v>
      </c>
      <c r="D126" s="1946" t="s">
        <v>3831</v>
      </c>
      <c r="E126" s="1792" t="s">
        <v>3992</v>
      </c>
      <c r="F126" s="1946" t="s">
        <v>3913</v>
      </c>
      <c r="G126" s="38" t="s">
        <v>3133</v>
      </c>
      <c r="H126" s="22" t="s">
        <v>1356</v>
      </c>
      <c r="I126" s="191" t="s">
        <v>19</v>
      </c>
      <c r="J126" s="297">
        <v>90</v>
      </c>
      <c r="K126" s="298">
        <v>91</v>
      </c>
      <c r="L126" s="271"/>
      <c r="M126" s="298">
        <v>92</v>
      </c>
      <c r="N126" s="271"/>
      <c r="O126" s="298">
        <v>93</v>
      </c>
      <c r="P126" s="271"/>
      <c r="Q126" s="298">
        <v>94</v>
      </c>
      <c r="R126" s="271"/>
      <c r="S126" s="298">
        <v>95</v>
      </c>
      <c r="T126" s="271"/>
      <c r="U126" s="298">
        <v>96</v>
      </c>
      <c r="V126" s="271"/>
      <c r="W126" s="298">
        <v>95</v>
      </c>
      <c r="X126" s="299"/>
      <c r="Y126" s="46" t="s">
        <v>1364</v>
      </c>
    </row>
    <row r="127" spans="2:25" ht="72" x14ac:dyDescent="0.25">
      <c r="B127" s="1987"/>
      <c r="C127" s="1947"/>
      <c r="D127" s="1947"/>
      <c r="E127" s="1793"/>
      <c r="F127" s="1947"/>
      <c r="G127" s="22" t="s">
        <v>36</v>
      </c>
      <c r="H127" s="26" t="s">
        <v>386</v>
      </c>
      <c r="I127" s="64" t="s">
        <v>19</v>
      </c>
      <c r="J127" s="42">
        <v>100</v>
      </c>
      <c r="K127" s="65">
        <v>20</v>
      </c>
      <c r="L127" s="29">
        <f>SUM(L128:L140)</f>
        <v>616500</v>
      </c>
      <c r="M127" s="65">
        <v>20</v>
      </c>
      <c r="N127" s="29">
        <f>SUM(N128:N140)</f>
        <v>665150</v>
      </c>
      <c r="O127" s="65">
        <v>15</v>
      </c>
      <c r="P127" s="29">
        <f>SUM(P128:P140)</f>
        <v>720280</v>
      </c>
      <c r="Q127" s="65">
        <v>15</v>
      </c>
      <c r="R127" s="29">
        <f>SUM(R128:R140)</f>
        <v>792307</v>
      </c>
      <c r="S127" s="65">
        <v>15</v>
      </c>
      <c r="T127" s="29">
        <f>SUM(T128:T140)</f>
        <v>871535</v>
      </c>
      <c r="U127" s="65">
        <v>15</v>
      </c>
      <c r="V127" s="29">
        <f>SUM(V128:V140)</f>
        <v>960930</v>
      </c>
      <c r="W127" s="28">
        <v>100</v>
      </c>
      <c r="X127" s="66"/>
      <c r="Y127" s="46" t="s">
        <v>1364</v>
      </c>
    </row>
    <row r="128" spans="2:25" ht="51" x14ac:dyDescent="0.25">
      <c r="B128" s="1987"/>
      <c r="C128" s="47"/>
      <c r="D128" s="47"/>
      <c r="E128" s="47"/>
      <c r="F128" s="47"/>
      <c r="G128" s="24" t="s">
        <v>768</v>
      </c>
      <c r="H128" s="23" t="s">
        <v>2467</v>
      </c>
      <c r="I128" s="67" t="s">
        <v>40</v>
      </c>
      <c r="J128" s="70"/>
      <c r="K128" s="4">
        <v>12</v>
      </c>
      <c r="L128" s="53">
        <v>2500</v>
      </c>
      <c r="M128" s="4">
        <v>12</v>
      </c>
      <c r="N128" s="53">
        <v>2750</v>
      </c>
      <c r="O128" s="4">
        <v>12</v>
      </c>
      <c r="P128" s="53">
        <v>3025</v>
      </c>
      <c r="Q128" s="4">
        <v>12</v>
      </c>
      <c r="R128" s="53">
        <v>3327</v>
      </c>
      <c r="S128" s="4">
        <v>12</v>
      </c>
      <c r="T128" s="53">
        <v>3659</v>
      </c>
      <c r="U128" s="4">
        <v>12</v>
      </c>
      <c r="V128" s="53">
        <v>3990</v>
      </c>
      <c r="W128" s="49"/>
      <c r="X128" s="54"/>
      <c r="Y128" s="46" t="s">
        <v>1364</v>
      </c>
    </row>
    <row r="129" spans="2:25" ht="63.75" x14ac:dyDescent="0.25">
      <c r="B129" s="1987"/>
      <c r="C129" s="47"/>
      <c r="D129" s="47"/>
      <c r="E129" s="47"/>
      <c r="F129" s="47"/>
      <c r="G129" s="24" t="s">
        <v>126</v>
      </c>
      <c r="H129" s="23" t="s">
        <v>2468</v>
      </c>
      <c r="I129" s="67" t="s">
        <v>40</v>
      </c>
      <c r="J129" s="70"/>
      <c r="K129" s="4">
        <v>12</v>
      </c>
      <c r="L129" s="53">
        <v>110400</v>
      </c>
      <c r="M129" s="4">
        <v>12</v>
      </c>
      <c r="N129" s="53">
        <v>121440.00000000001</v>
      </c>
      <c r="O129" s="4">
        <v>12</v>
      </c>
      <c r="P129" s="53">
        <v>133580</v>
      </c>
      <c r="Q129" s="4">
        <v>12</v>
      </c>
      <c r="R129" s="53">
        <v>146938</v>
      </c>
      <c r="S129" s="4">
        <v>12</v>
      </c>
      <c r="T129" s="53">
        <v>161631</v>
      </c>
      <c r="U129" s="4">
        <v>12</v>
      </c>
      <c r="V129" s="53">
        <v>177780</v>
      </c>
      <c r="W129" s="49"/>
      <c r="X129" s="54"/>
      <c r="Y129" s="46" t="s">
        <v>1364</v>
      </c>
    </row>
    <row r="130" spans="2:25" ht="51" x14ac:dyDescent="0.25">
      <c r="B130" s="1987"/>
      <c r="C130" s="47"/>
      <c r="D130" s="47"/>
      <c r="E130" s="47"/>
      <c r="F130" s="47"/>
      <c r="G130" s="24" t="s">
        <v>43</v>
      </c>
      <c r="H130" s="23" t="s">
        <v>2469</v>
      </c>
      <c r="I130" s="67" t="s">
        <v>40</v>
      </c>
      <c r="J130" s="70"/>
      <c r="K130" s="4">
        <v>12</v>
      </c>
      <c r="L130" s="53">
        <v>85600</v>
      </c>
      <c r="M130" s="4">
        <v>12</v>
      </c>
      <c r="N130" s="53">
        <v>94160</v>
      </c>
      <c r="O130" s="4">
        <v>12</v>
      </c>
      <c r="P130" s="53">
        <v>103575</v>
      </c>
      <c r="Q130" s="4">
        <v>12</v>
      </c>
      <c r="R130" s="53">
        <v>113932</v>
      </c>
      <c r="S130" s="4">
        <v>12</v>
      </c>
      <c r="T130" s="53">
        <v>125325</v>
      </c>
      <c r="U130" s="4">
        <v>12</v>
      </c>
      <c r="V130" s="53">
        <v>137840</v>
      </c>
      <c r="W130" s="49"/>
      <c r="X130" s="54"/>
      <c r="Y130" s="46" t="s">
        <v>1364</v>
      </c>
    </row>
    <row r="131" spans="2:25" ht="63.75" x14ac:dyDescent="0.25">
      <c r="B131" s="1987"/>
      <c r="C131" s="47"/>
      <c r="D131" s="47"/>
      <c r="E131" s="47"/>
      <c r="F131" s="47"/>
      <c r="G131" s="24" t="s">
        <v>1984</v>
      </c>
      <c r="H131" s="23" t="s">
        <v>2470</v>
      </c>
      <c r="I131" s="67" t="s">
        <v>40</v>
      </c>
      <c r="J131" s="70"/>
      <c r="K131" s="4">
        <v>12</v>
      </c>
      <c r="L131" s="53">
        <v>45000</v>
      </c>
      <c r="M131" s="4">
        <v>12</v>
      </c>
      <c r="N131" s="53">
        <v>49500</v>
      </c>
      <c r="O131" s="4">
        <v>12</v>
      </c>
      <c r="P131" s="53">
        <v>54450</v>
      </c>
      <c r="Q131" s="4">
        <v>12</v>
      </c>
      <c r="R131" s="53">
        <v>59895</v>
      </c>
      <c r="S131" s="4">
        <v>12</v>
      </c>
      <c r="T131" s="53">
        <v>65884</v>
      </c>
      <c r="U131" s="4">
        <v>12</v>
      </c>
      <c r="V131" s="53">
        <v>72450</v>
      </c>
      <c r="W131" s="49"/>
      <c r="X131" s="54"/>
      <c r="Y131" s="46" t="s">
        <v>1364</v>
      </c>
    </row>
    <row r="132" spans="2:25" ht="51" x14ac:dyDescent="0.25">
      <c r="B132" s="1987"/>
      <c r="C132" s="47"/>
      <c r="D132" s="47"/>
      <c r="E132" s="47"/>
      <c r="F132" s="47"/>
      <c r="G132" s="24" t="s">
        <v>47</v>
      </c>
      <c r="H132" s="23" t="s">
        <v>2471</v>
      </c>
      <c r="I132" s="67" t="s">
        <v>40</v>
      </c>
      <c r="J132" s="70"/>
      <c r="K132" s="4">
        <v>12</v>
      </c>
      <c r="L132" s="53">
        <v>30000</v>
      </c>
      <c r="M132" s="4">
        <v>12</v>
      </c>
      <c r="N132" s="53">
        <v>33000</v>
      </c>
      <c r="O132" s="4">
        <v>12</v>
      </c>
      <c r="P132" s="53">
        <v>36000</v>
      </c>
      <c r="Q132" s="4">
        <v>12</v>
      </c>
      <c r="R132" s="53">
        <v>39600</v>
      </c>
      <c r="S132" s="4">
        <v>12</v>
      </c>
      <c r="T132" s="53">
        <v>43560</v>
      </c>
      <c r="U132" s="4">
        <v>12</v>
      </c>
      <c r="V132" s="53">
        <v>48320</v>
      </c>
      <c r="W132" s="49"/>
      <c r="X132" s="54"/>
      <c r="Y132" s="46" t="s">
        <v>1364</v>
      </c>
    </row>
    <row r="133" spans="2:25" ht="51" x14ac:dyDescent="0.25">
      <c r="B133" s="1987"/>
      <c r="C133" s="47"/>
      <c r="D133" s="47"/>
      <c r="E133" s="47"/>
      <c r="F133" s="47"/>
      <c r="G133" s="24" t="s">
        <v>1988</v>
      </c>
      <c r="H133" s="23" t="s">
        <v>2472</v>
      </c>
      <c r="I133" s="67" t="s">
        <v>40</v>
      </c>
      <c r="J133" s="70"/>
      <c r="K133" s="4">
        <v>12</v>
      </c>
      <c r="L133" s="53">
        <v>42000</v>
      </c>
      <c r="M133" s="4">
        <v>12</v>
      </c>
      <c r="N133" s="53">
        <v>46200</v>
      </c>
      <c r="O133" s="4">
        <v>12</v>
      </c>
      <c r="P133" s="53">
        <v>50800</v>
      </c>
      <c r="Q133" s="4">
        <v>12</v>
      </c>
      <c r="R133" s="53">
        <v>55880</v>
      </c>
      <c r="S133" s="4">
        <v>12</v>
      </c>
      <c r="T133" s="53">
        <v>61468</v>
      </c>
      <c r="U133" s="4">
        <v>12</v>
      </c>
      <c r="V133" s="53">
        <v>67630</v>
      </c>
      <c r="W133" s="49"/>
      <c r="X133" s="54"/>
      <c r="Y133" s="46" t="s">
        <v>1364</v>
      </c>
    </row>
    <row r="134" spans="2:25" ht="38.25" x14ac:dyDescent="0.25">
      <c r="B134" s="1987"/>
      <c r="C134" s="47"/>
      <c r="D134" s="47"/>
      <c r="E134" s="47"/>
      <c r="F134" s="47"/>
      <c r="G134" s="24" t="s">
        <v>50</v>
      </c>
      <c r="H134" s="23" t="s">
        <v>2473</v>
      </c>
      <c r="I134" s="67" t="s">
        <v>40</v>
      </c>
      <c r="J134" s="70"/>
      <c r="K134" s="4">
        <v>12</v>
      </c>
      <c r="L134" s="53">
        <v>38000</v>
      </c>
      <c r="M134" s="4">
        <v>12</v>
      </c>
      <c r="N134" s="53">
        <v>39000</v>
      </c>
      <c r="O134" s="4">
        <v>12</v>
      </c>
      <c r="P134" s="53">
        <v>42350</v>
      </c>
      <c r="Q134" s="4">
        <v>12</v>
      </c>
      <c r="R134" s="53">
        <v>46585</v>
      </c>
      <c r="S134" s="4">
        <v>12</v>
      </c>
      <c r="T134" s="53">
        <v>51243</v>
      </c>
      <c r="U134" s="4">
        <v>12</v>
      </c>
      <c r="V134" s="53">
        <v>57090</v>
      </c>
      <c r="W134" s="49"/>
      <c r="X134" s="54"/>
      <c r="Y134" s="46" t="s">
        <v>1364</v>
      </c>
    </row>
    <row r="135" spans="2:25" ht="63.75" x14ac:dyDescent="0.25">
      <c r="B135" s="1987"/>
      <c r="C135" s="47"/>
      <c r="D135" s="47"/>
      <c r="E135" s="47"/>
      <c r="F135" s="47"/>
      <c r="G135" s="24" t="s">
        <v>52</v>
      </c>
      <c r="H135" s="23" t="s">
        <v>2474</v>
      </c>
      <c r="I135" s="67" t="s">
        <v>40</v>
      </c>
      <c r="J135" s="70"/>
      <c r="K135" s="4">
        <v>12</v>
      </c>
      <c r="L135" s="53">
        <v>70000</v>
      </c>
      <c r="M135" s="4">
        <v>12</v>
      </c>
      <c r="N135" s="53">
        <v>77000</v>
      </c>
      <c r="O135" s="4">
        <v>12</v>
      </c>
      <c r="P135" s="53">
        <v>84700</v>
      </c>
      <c r="Q135" s="4">
        <v>12</v>
      </c>
      <c r="R135" s="53">
        <v>93170</v>
      </c>
      <c r="S135" s="4">
        <v>12</v>
      </c>
      <c r="T135" s="53">
        <v>102487</v>
      </c>
      <c r="U135" s="4">
        <v>12</v>
      </c>
      <c r="V135" s="53">
        <v>112720</v>
      </c>
      <c r="W135" s="49"/>
      <c r="X135" s="54"/>
      <c r="Y135" s="46" t="s">
        <v>1364</v>
      </c>
    </row>
    <row r="136" spans="2:25" ht="38.25" x14ac:dyDescent="0.25">
      <c r="B136" s="1987"/>
      <c r="C136" s="47"/>
      <c r="D136" s="47"/>
      <c r="E136" s="47"/>
      <c r="F136" s="47"/>
      <c r="G136" s="24" t="s">
        <v>54</v>
      </c>
      <c r="H136" s="23" t="s">
        <v>2475</v>
      </c>
      <c r="I136" s="67" t="s">
        <v>40</v>
      </c>
      <c r="J136" s="70"/>
      <c r="K136" s="4">
        <v>12</v>
      </c>
      <c r="L136" s="53">
        <v>5000</v>
      </c>
      <c r="M136" s="4">
        <v>12</v>
      </c>
      <c r="N136" s="53">
        <v>6000</v>
      </c>
      <c r="O136" s="4">
        <v>12</v>
      </c>
      <c r="P136" s="53">
        <v>6100</v>
      </c>
      <c r="Q136" s="4">
        <v>12</v>
      </c>
      <c r="R136" s="53">
        <v>6710</v>
      </c>
      <c r="S136" s="4">
        <v>12</v>
      </c>
      <c r="T136" s="53">
        <v>7381</v>
      </c>
      <c r="U136" s="4">
        <v>12</v>
      </c>
      <c r="V136" s="53">
        <v>8690</v>
      </c>
      <c r="W136" s="49"/>
      <c r="X136" s="54"/>
      <c r="Y136" s="46" t="s">
        <v>1364</v>
      </c>
    </row>
    <row r="137" spans="2:25" ht="63.75" x14ac:dyDescent="0.25">
      <c r="B137" s="1987"/>
      <c r="C137" s="47"/>
      <c r="D137" s="47"/>
      <c r="E137" s="47"/>
      <c r="F137" s="47"/>
      <c r="G137" s="24" t="s">
        <v>56</v>
      </c>
      <c r="H137" s="23" t="s">
        <v>2476</v>
      </c>
      <c r="I137" s="67" t="s">
        <v>40</v>
      </c>
      <c r="J137" s="70"/>
      <c r="K137" s="4">
        <v>12</v>
      </c>
      <c r="L137" s="53">
        <v>5000</v>
      </c>
      <c r="M137" s="4">
        <v>12</v>
      </c>
      <c r="N137" s="53">
        <v>6000</v>
      </c>
      <c r="O137" s="4">
        <v>12</v>
      </c>
      <c r="P137" s="53">
        <v>6100</v>
      </c>
      <c r="Q137" s="4">
        <v>12</v>
      </c>
      <c r="R137" s="53">
        <v>6710</v>
      </c>
      <c r="S137" s="4">
        <v>12</v>
      </c>
      <c r="T137" s="53">
        <v>7381</v>
      </c>
      <c r="U137" s="4">
        <v>12</v>
      </c>
      <c r="V137" s="53">
        <v>8690</v>
      </c>
      <c r="W137" s="49"/>
      <c r="X137" s="54"/>
      <c r="Y137" s="46" t="s">
        <v>1364</v>
      </c>
    </row>
    <row r="138" spans="2:25" ht="51" x14ac:dyDescent="0.25">
      <c r="B138" s="1987"/>
      <c r="C138" s="47"/>
      <c r="D138" s="47"/>
      <c r="E138" s="47"/>
      <c r="F138" s="47"/>
      <c r="G138" s="24" t="s">
        <v>58</v>
      </c>
      <c r="H138" s="23" t="s">
        <v>2477</v>
      </c>
      <c r="I138" s="67" t="s">
        <v>40</v>
      </c>
      <c r="J138" s="70"/>
      <c r="K138" s="4">
        <v>12</v>
      </c>
      <c r="L138" s="53">
        <v>21000</v>
      </c>
      <c r="M138" s="4">
        <v>12</v>
      </c>
      <c r="N138" s="53">
        <v>23100</v>
      </c>
      <c r="O138" s="4">
        <v>12</v>
      </c>
      <c r="P138" s="53">
        <v>25400</v>
      </c>
      <c r="Q138" s="4">
        <v>12</v>
      </c>
      <c r="R138" s="53">
        <v>27940</v>
      </c>
      <c r="S138" s="4">
        <v>12</v>
      </c>
      <c r="T138" s="53">
        <v>30734</v>
      </c>
      <c r="U138" s="4">
        <v>12</v>
      </c>
      <c r="V138" s="53">
        <v>33880</v>
      </c>
      <c r="W138" s="49"/>
      <c r="X138" s="54"/>
      <c r="Y138" s="46" t="s">
        <v>1364</v>
      </c>
    </row>
    <row r="139" spans="2:25" ht="76.5" x14ac:dyDescent="0.25">
      <c r="B139" s="1987"/>
      <c r="C139" s="47"/>
      <c r="D139" s="47"/>
      <c r="E139" s="47"/>
      <c r="F139" s="47"/>
      <c r="G139" s="24" t="s">
        <v>137</v>
      </c>
      <c r="H139" s="23" t="s">
        <v>2478</v>
      </c>
      <c r="I139" s="67" t="s">
        <v>40</v>
      </c>
      <c r="J139" s="70"/>
      <c r="K139" s="4">
        <v>12</v>
      </c>
      <c r="L139" s="53">
        <v>142000</v>
      </c>
      <c r="M139" s="4">
        <v>12</v>
      </c>
      <c r="N139" s="53">
        <v>145000</v>
      </c>
      <c r="O139" s="4">
        <v>12</v>
      </c>
      <c r="P139" s="53">
        <v>150000</v>
      </c>
      <c r="Q139" s="4">
        <v>12</v>
      </c>
      <c r="R139" s="53">
        <v>165000</v>
      </c>
      <c r="S139" s="4">
        <v>12</v>
      </c>
      <c r="T139" s="53">
        <v>181500</v>
      </c>
      <c r="U139" s="4">
        <v>12</v>
      </c>
      <c r="V139" s="53">
        <v>199650</v>
      </c>
      <c r="W139" s="49"/>
      <c r="X139" s="54"/>
      <c r="Y139" s="46" t="s">
        <v>1364</v>
      </c>
    </row>
    <row r="140" spans="2:25" ht="63.75" x14ac:dyDescent="0.25">
      <c r="B140" s="1987"/>
      <c r="C140" s="47"/>
      <c r="D140" s="47"/>
      <c r="E140" s="47"/>
      <c r="F140" s="47"/>
      <c r="G140" s="24" t="s">
        <v>399</v>
      </c>
      <c r="H140" s="23" t="s">
        <v>2479</v>
      </c>
      <c r="I140" s="67" t="s">
        <v>40</v>
      </c>
      <c r="J140" s="70"/>
      <c r="K140" s="4">
        <v>12</v>
      </c>
      <c r="L140" s="53">
        <v>20000</v>
      </c>
      <c r="M140" s="4">
        <v>12</v>
      </c>
      <c r="N140" s="53">
        <v>22000</v>
      </c>
      <c r="O140" s="4">
        <v>12</v>
      </c>
      <c r="P140" s="53">
        <v>24200</v>
      </c>
      <c r="Q140" s="4">
        <v>12</v>
      </c>
      <c r="R140" s="53">
        <v>26620</v>
      </c>
      <c r="S140" s="4">
        <v>12</v>
      </c>
      <c r="T140" s="53">
        <v>29282</v>
      </c>
      <c r="U140" s="4">
        <v>12</v>
      </c>
      <c r="V140" s="53">
        <v>32200</v>
      </c>
      <c r="W140" s="49"/>
      <c r="X140" s="54"/>
      <c r="Y140" s="46" t="s">
        <v>1364</v>
      </c>
    </row>
    <row r="141" spans="2:25" ht="72" x14ac:dyDescent="0.25">
      <c r="B141" s="1987"/>
      <c r="C141" s="47"/>
      <c r="D141" s="47"/>
      <c r="E141" s="47"/>
      <c r="F141" s="47"/>
      <c r="G141" s="22" t="s">
        <v>471</v>
      </c>
      <c r="H141" s="26" t="s">
        <v>249</v>
      </c>
      <c r="I141" s="27" t="s">
        <v>19</v>
      </c>
      <c r="J141" s="42">
        <v>100</v>
      </c>
      <c r="K141" s="5">
        <v>22.2</v>
      </c>
      <c r="L141" s="29">
        <f>SUM(L142:L144)</f>
        <v>65179</v>
      </c>
      <c r="M141" s="5">
        <v>17</v>
      </c>
      <c r="N141" s="29">
        <f>SUM(N142:N144)</f>
        <v>65146</v>
      </c>
      <c r="O141" s="5">
        <v>17</v>
      </c>
      <c r="P141" s="29">
        <f>SUM(P142:P144)</f>
        <v>257000</v>
      </c>
      <c r="Q141" s="5">
        <v>10</v>
      </c>
      <c r="R141" s="29">
        <f>SUM(R142:R144)</f>
        <v>8000</v>
      </c>
      <c r="S141" s="5">
        <v>17</v>
      </c>
      <c r="T141" s="29">
        <f>SUM(T142:T144)</f>
        <v>69000</v>
      </c>
      <c r="U141" s="5">
        <v>17</v>
      </c>
      <c r="V141" s="29">
        <f>SUM(V142:V144)</f>
        <v>69000</v>
      </c>
      <c r="W141" s="28">
        <f>U141+S141+Q141+O141+M141+K141</f>
        <v>100.2</v>
      </c>
      <c r="X141" s="54"/>
      <c r="Y141" s="46" t="s">
        <v>1364</v>
      </c>
    </row>
    <row r="142" spans="2:25" ht="63.75" x14ac:dyDescent="0.25">
      <c r="B142" s="1987"/>
      <c r="C142" s="47"/>
      <c r="D142" s="47"/>
      <c r="E142" s="47"/>
      <c r="F142" s="47"/>
      <c r="G142" s="24" t="s">
        <v>472</v>
      </c>
      <c r="H142" s="23" t="s">
        <v>2480</v>
      </c>
      <c r="I142" s="25" t="s">
        <v>75</v>
      </c>
      <c r="J142" s="70">
        <v>16</v>
      </c>
      <c r="K142" s="4">
        <v>0</v>
      </c>
      <c r="L142" s="53">
        <v>0</v>
      </c>
      <c r="M142" s="4">
        <v>0</v>
      </c>
      <c r="N142" s="53">
        <v>0</v>
      </c>
      <c r="O142" s="4">
        <v>1</v>
      </c>
      <c r="P142" s="53">
        <v>250000</v>
      </c>
      <c r="Q142" s="4">
        <v>0</v>
      </c>
      <c r="R142" s="53">
        <v>0</v>
      </c>
      <c r="S142" s="4">
        <v>0</v>
      </c>
      <c r="T142" s="53">
        <v>0</v>
      </c>
      <c r="U142" s="4">
        <v>0</v>
      </c>
      <c r="V142" s="53">
        <v>0</v>
      </c>
      <c r="W142" s="49"/>
      <c r="X142" s="54"/>
      <c r="Y142" s="46" t="s">
        <v>1364</v>
      </c>
    </row>
    <row r="143" spans="2:25" ht="63.75" x14ac:dyDescent="0.25">
      <c r="B143" s="1987"/>
      <c r="C143" s="47"/>
      <c r="D143" s="47"/>
      <c r="E143" s="47"/>
      <c r="F143" s="47"/>
      <c r="G143" s="24" t="s">
        <v>2481</v>
      </c>
      <c r="H143" s="23" t="s">
        <v>2482</v>
      </c>
      <c r="I143" s="25" t="s">
        <v>69</v>
      </c>
      <c r="J143" s="70">
        <v>0.95</v>
      </c>
      <c r="K143" s="4">
        <v>1</v>
      </c>
      <c r="L143" s="53">
        <v>60000</v>
      </c>
      <c r="M143" s="4">
        <v>1</v>
      </c>
      <c r="N143" s="53">
        <v>60000</v>
      </c>
      <c r="O143" s="4">
        <v>0</v>
      </c>
      <c r="P143" s="53">
        <v>0</v>
      </c>
      <c r="Q143" s="4">
        <v>0</v>
      </c>
      <c r="R143" s="53">
        <v>0</v>
      </c>
      <c r="S143" s="4">
        <v>1</v>
      </c>
      <c r="T143" s="53">
        <v>60000</v>
      </c>
      <c r="U143" s="4">
        <v>1</v>
      </c>
      <c r="V143" s="53">
        <v>60000</v>
      </c>
      <c r="W143" s="49"/>
      <c r="X143" s="54"/>
      <c r="Y143" s="46" t="s">
        <v>1364</v>
      </c>
    </row>
    <row r="144" spans="2:25" ht="51" x14ac:dyDescent="0.25">
      <c r="B144" s="1987"/>
      <c r="C144" s="47"/>
      <c r="D144" s="47"/>
      <c r="E144" s="47"/>
      <c r="F144" s="47"/>
      <c r="G144" s="24" t="s">
        <v>2483</v>
      </c>
      <c r="H144" s="23" t="s">
        <v>2484</v>
      </c>
      <c r="I144" s="25" t="s">
        <v>69</v>
      </c>
      <c r="J144" s="4">
        <v>1</v>
      </c>
      <c r="K144" s="4">
        <v>1</v>
      </c>
      <c r="L144" s="53">
        <v>5179</v>
      </c>
      <c r="M144" s="4">
        <v>1</v>
      </c>
      <c r="N144" s="53">
        <v>5146</v>
      </c>
      <c r="O144" s="4">
        <v>1</v>
      </c>
      <c r="P144" s="53">
        <v>7000</v>
      </c>
      <c r="Q144" s="4">
        <v>1</v>
      </c>
      <c r="R144" s="53">
        <v>8000</v>
      </c>
      <c r="S144" s="4">
        <v>1</v>
      </c>
      <c r="T144" s="53">
        <v>9000</v>
      </c>
      <c r="U144" s="4">
        <v>1</v>
      </c>
      <c r="V144" s="53">
        <v>9000</v>
      </c>
      <c r="W144" s="49"/>
      <c r="X144" s="54"/>
      <c r="Y144" s="46" t="s">
        <v>1364</v>
      </c>
    </row>
    <row r="145" spans="2:33" ht="84" x14ac:dyDescent="0.25">
      <c r="B145" s="1987"/>
      <c r="C145" s="47"/>
      <c r="D145" s="47"/>
      <c r="E145" s="47"/>
      <c r="F145" s="47"/>
      <c r="G145" s="22" t="s">
        <v>1500</v>
      </c>
      <c r="H145" s="26" t="s">
        <v>1501</v>
      </c>
      <c r="I145" s="27" t="s">
        <v>79</v>
      </c>
      <c r="J145" s="65">
        <v>7</v>
      </c>
      <c r="K145" s="68">
        <v>7</v>
      </c>
      <c r="L145" s="69">
        <f>SUM(L146)</f>
        <v>20000</v>
      </c>
      <c r="M145" s="68">
        <v>6</v>
      </c>
      <c r="N145" s="69">
        <f>SUM(N146)</f>
        <v>15000</v>
      </c>
      <c r="O145" s="68">
        <v>6</v>
      </c>
      <c r="P145" s="69">
        <f>SUM(P146)</f>
        <v>20000</v>
      </c>
      <c r="Q145" s="68">
        <v>6</v>
      </c>
      <c r="R145" s="69">
        <f>SUM(R146)</f>
        <v>20000</v>
      </c>
      <c r="S145" s="68">
        <v>6</v>
      </c>
      <c r="T145" s="69">
        <f>SUM(T146)</f>
        <v>22000</v>
      </c>
      <c r="U145" s="68">
        <v>6</v>
      </c>
      <c r="V145" s="69">
        <f>SUM(V146)</f>
        <v>22000</v>
      </c>
      <c r="W145" s="28">
        <f>U145+S145+Q145+O145+M145+K145</f>
        <v>37</v>
      </c>
      <c r="X145" s="54"/>
      <c r="Y145" s="46" t="s">
        <v>1364</v>
      </c>
    </row>
    <row r="146" spans="2:33" ht="140.25" x14ac:dyDescent="0.25">
      <c r="B146" s="1987"/>
      <c r="C146" s="47"/>
      <c r="D146" s="47"/>
      <c r="E146" s="47"/>
      <c r="F146" s="47"/>
      <c r="G146" s="24" t="s">
        <v>80</v>
      </c>
      <c r="H146" s="23" t="s">
        <v>2485</v>
      </c>
      <c r="I146" s="25" t="s">
        <v>79</v>
      </c>
      <c r="J146" s="70"/>
      <c r="K146" s="4">
        <v>7</v>
      </c>
      <c r="L146" s="53">
        <v>20000</v>
      </c>
      <c r="M146" s="4">
        <v>6</v>
      </c>
      <c r="N146" s="53">
        <v>15000</v>
      </c>
      <c r="O146" s="4">
        <v>6</v>
      </c>
      <c r="P146" s="53">
        <v>20000</v>
      </c>
      <c r="Q146" s="4">
        <v>6</v>
      </c>
      <c r="R146" s="53">
        <v>20000</v>
      </c>
      <c r="S146" s="4">
        <v>6</v>
      </c>
      <c r="T146" s="53">
        <v>22000</v>
      </c>
      <c r="U146" s="4">
        <v>6</v>
      </c>
      <c r="V146" s="53">
        <v>22000</v>
      </c>
      <c r="W146" s="49"/>
      <c r="X146" s="54"/>
      <c r="Y146" s="46" t="s">
        <v>1364</v>
      </c>
    </row>
    <row r="147" spans="2:33" s="246" customFormat="1" ht="84" x14ac:dyDescent="0.2">
      <c r="B147" s="1987"/>
      <c r="C147" s="47"/>
      <c r="D147" s="47"/>
      <c r="E147" s="47"/>
      <c r="F147" s="47"/>
      <c r="G147" s="22" t="s">
        <v>1509</v>
      </c>
      <c r="H147" s="292" t="s">
        <v>1510</v>
      </c>
      <c r="I147" s="27" t="s">
        <v>79</v>
      </c>
      <c r="J147" s="5">
        <v>0</v>
      </c>
      <c r="K147" s="5">
        <v>1</v>
      </c>
      <c r="L147" s="29">
        <f>SUM(L148)</f>
        <v>20000</v>
      </c>
      <c r="M147" s="5">
        <v>1</v>
      </c>
      <c r="N147" s="29">
        <f>SUM(N148)</f>
        <v>20000</v>
      </c>
      <c r="O147" s="5">
        <v>1</v>
      </c>
      <c r="P147" s="29">
        <f>SUM(P148)</f>
        <v>22000</v>
      </c>
      <c r="Q147" s="5">
        <v>1</v>
      </c>
      <c r="R147" s="29">
        <f>SUM(R148)</f>
        <v>22000</v>
      </c>
      <c r="S147" s="5">
        <v>1</v>
      </c>
      <c r="T147" s="29">
        <f>SUM(T148)</f>
        <v>22000</v>
      </c>
      <c r="U147" s="5">
        <v>1</v>
      </c>
      <c r="V147" s="29">
        <f>SUM(V148)</f>
        <v>22000</v>
      </c>
      <c r="W147" s="28">
        <f>U147+S147+Q147+O147+M147+K147</f>
        <v>6</v>
      </c>
      <c r="X147" s="66"/>
      <c r="Y147" s="46" t="s">
        <v>1364</v>
      </c>
    </row>
    <row r="148" spans="2:33" ht="89.25" x14ac:dyDescent="0.25">
      <c r="B148" s="1987"/>
      <c r="C148" s="56"/>
      <c r="D148" s="56"/>
      <c r="E148" s="56"/>
      <c r="F148" s="56"/>
      <c r="G148" s="23" t="s">
        <v>169</v>
      </c>
      <c r="H148" s="57" t="s">
        <v>2486</v>
      </c>
      <c r="I148" s="25" t="s">
        <v>79</v>
      </c>
      <c r="J148" s="4"/>
      <c r="K148" s="4">
        <v>1</v>
      </c>
      <c r="L148" s="53">
        <v>20000</v>
      </c>
      <c r="M148" s="4">
        <v>1</v>
      </c>
      <c r="N148" s="53">
        <v>20000</v>
      </c>
      <c r="O148" s="4">
        <v>1</v>
      </c>
      <c r="P148" s="53">
        <v>22000</v>
      </c>
      <c r="Q148" s="4">
        <v>1</v>
      </c>
      <c r="R148" s="53">
        <v>22000</v>
      </c>
      <c r="S148" s="4">
        <v>1</v>
      </c>
      <c r="T148" s="53">
        <v>22000</v>
      </c>
      <c r="U148" s="4">
        <v>1</v>
      </c>
      <c r="V148" s="53">
        <v>22000</v>
      </c>
      <c r="W148" s="49"/>
      <c r="X148" s="54"/>
      <c r="Y148" s="46" t="s">
        <v>1364</v>
      </c>
    </row>
    <row r="149" spans="2:33" ht="13.5" thickBot="1" x14ac:dyDescent="0.3">
      <c r="B149" s="1991" t="s">
        <v>1799</v>
      </c>
      <c r="C149" s="1992"/>
      <c r="D149" s="1992"/>
      <c r="E149" s="1992"/>
      <c r="F149" s="1993"/>
      <c r="G149" s="71"/>
      <c r="H149" s="72"/>
      <c r="I149" s="73"/>
      <c r="J149" s="6"/>
      <c r="K149" s="6"/>
      <c r="L149" s="74">
        <f>SUM(L104:L148)/2</f>
        <v>1720679</v>
      </c>
      <c r="M149" s="75"/>
      <c r="N149" s="74">
        <f>SUM(N104:N148)/2</f>
        <v>1884796</v>
      </c>
      <c r="O149" s="75"/>
      <c r="P149" s="74">
        <f>SUM(P104:P148)/2</f>
        <v>2242030</v>
      </c>
      <c r="Q149" s="300"/>
      <c r="R149" s="74">
        <f>SUM(R104:R148)/2</f>
        <v>2182507</v>
      </c>
      <c r="S149" s="300"/>
      <c r="T149" s="74">
        <f>SUM(T104:T148)/2</f>
        <v>2453755</v>
      </c>
      <c r="U149" s="300"/>
      <c r="V149" s="74">
        <f>SUM(V104:V148)/2</f>
        <v>2687747</v>
      </c>
      <c r="W149" s="300"/>
      <c r="X149" s="536"/>
      <c r="Y149" s="537"/>
    </row>
    <row r="150" spans="2:33" ht="13.5" thickTop="1" x14ac:dyDescent="0.25"/>
    <row r="151" spans="2:33" ht="13.5" thickBot="1" x14ac:dyDescent="0.3">
      <c r="B151" s="246" t="s">
        <v>1387</v>
      </c>
    </row>
    <row r="152" spans="2:33" s="219" customFormat="1" thickTop="1" x14ac:dyDescent="0.2">
      <c r="B152" s="1932" t="s">
        <v>1</v>
      </c>
      <c r="C152" s="1934" t="s">
        <v>2</v>
      </c>
      <c r="D152" s="1934" t="s">
        <v>3</v>
      </c>
      <c r="E152" s="1934" t="s">
        <v>4</v>
      </c>
      <c r="F152" s="1934" t="s">
        <v>5</v>
      </c>
      <c r="G152" s="1934" t="s">
        <v>6</v>
      </c>
      <c r="H152" s="1934" t="s">
        <v>1854</v>
      </c>
      <c r="I152" s="1934" t="s">
        <v>31</v>
      </c>
      <c r="J152" s="1936" t="s">
        <v>1855</v>
      </c>
      <c r="K152" s="1934" t="s">
        <v>7</v>
      </c>
      <c r="L152" s="1934"/>
      <c r="M152" s="1934"/>
      <c r="N152" s="1934"/>
      <c r="O152" s="1934"/>
      <c r="P152" s="1934"/>
      <c r="Q152" s="1934"/>
      <c r="R152" s="1934"/>
      <c r="S152" s="1934"/>
      <c r="T152" s="1934"/>
      <c r="U152" s="1934"/>
      <c r="V152" s="1934"/>
      <c r="W152" s="1934"/>
      <c r="X152" s="1934" t="s">
        <v>8</v>
      </c>
      <c r="Y152" s="1938" t="s">
        <v>1856</v>
      </c>
    </row>
    <row r="153" spans="2:33" s="219" customFormat="1" ht="12" x14ac:dyDescent="0.2">
      <c r="B153" s="1933"/>
      <c r="C153" s="1935"/>
      <c r="D153" s="1935"/>
      <c r="E153" s="1935"/>
      <c r="F153" s="1935"/>
      <c r="G153" s="1935"/>
      <c r="H153" s="1935"/>
      <c r="I153" s="1935"/>
      <c r="J153" s="1937"/>
      <c r="K153" s="1935">
        <v>2016</v>
      </c>
      <c r="L153" s="1935"/>
      <c r="M153" s="1935">
        <v>2017</v>
      </c>
      <c r="N153" s="1935"/>
      <c r="O153" s="1935">
        <v>2018</v>
      </c>
      <c r="P153" s="1935"/>
      <c r="Q153" s="1935">
        <v>2019</v>
      </c>
      <c r="R153" s="1935"/>
      <c r="S153" s="1935">
        <v>2020</v>
      </c>
      <c r="T153" s="1935"/>
      <c r="U153" s="1935">
        <v>2021</v>
      </c>
      <c r="V153" s="1935"/>
      <c r="W153" s="1940" t="s">
        <v>1857</v>
      </c>
      <c r="X153" s="1935"/>
      <c r="Y153" s="1939"/>
    </row>
    <row r="154" spans="2:33" s="219" customFormat="1" ht="12" x14ac:dyDescent="0.2">
      <c r="B154" s="1933"/>
      <c r="C154" s="1935"/>
      <c r="D154" s="1935"/>
      <c r="E154" s="1935"/>
      <c r="F154" s="1935"/>
      <c r="G154" s="1935"/>
      <c r="H154" s="1935"/>
      <c r="I154" s="1935"/>
      <c r="J154" s="1937"/>
      <c r="K154" s="707" t="s">
        <v>1858</v>
      </c>
      <c r="L154" s="1889" t="s">
        <v>1355</v>
      </c>
      <c r="M154" s="844" t="s">
        <v>1858</v>
      </c>
      <c r="N154" s="1889" t="s">
        <v>1355</v>
      </c>
      <c r="O154" s="844" t="s">
        <v>1858</v>
      </c>
      <c r="P154" s="1889" t="s">
        <v>1355</v>
      </c>
      <c r="Q154" s="844" t="s">
        <v>1858</v>
      </c>
      <c r="R154" s="1889" t="s">
        <v>1355</v>
      </c>
      <c r="S154" s="844" t="s">
        <v>1858</v>
      </c>
      <c r="T154" s="1889" t="s">
        <v>1355</v>
      </c>
      <c r="U154" s="844" t="s">
        <v>1858</v>
      </c>
      <c r="V154" s="1889" t="s">
        <v>1355</v>
      </c>
      <c r="W154" s="1940"/>
      <c r="X154" s="1935"/>
      <c r="Y154" s="1939"/>
    </row>
    <row r="155" spans="2:33" ht="61.5" customHeight="1" x14ac:dyDescent="0.25">
      <c r="B155" s="1951" t="s">
        <v>1688</v>
      </c>
      <c r="C155" s="1974" t="s">
        <v>4045</v>
      </c>
      <c r="D155" s="1974" t="s">
        <v>4035</v>
      </c>
      <c r="E155" s="1818" t="s">
        <v>4042</v>
      </c>
      <c r="F155" s="685" t="s">
        <v>4036</v>
      </c>
      <c r="G155" s="976" t="s">
        <v>4039</v>
      </c>
      <c r="H155" s="655"/>
      <c r="I155" s="1" t="s">
        <v>19</v>
      </c>
      <c r="J155" s="1817">
        <v>30.53</v>
      </c>
      <c r="K155" s="1817">
        <v>35.880000000000003</v>
      </c>
      <c r="L155" s="655"/>
      <c r="M155" s="1817">
        <v>42.75</v>
      </c>
      <c r="N155" s="655"/>
      <c r="O155" s="1817">
        <v>49.62</v>
      </c>
      <c r="P155" s="535"/>
      <c r="Q155" s="1817">
        <v>56.49</v>
      </c>
      <c r="R155" s="535"/>
      <c r="S155" s="1817">
        <v>63.36</v>
      </c>
      <c r="T155" s="535"/>
      <c r="U155" s="1817">
        <v>70.23</v>
      </c>
      <c r="V155" s="535"/>
      <c r="W155" s="1817">
        <v>70.23</v>
      </c>
      <c r="X155" s="302"/>
      <c r="Y155" s="303" t="s">
        <v>1387</v>
      </c>
    </row>
    <row r="156" spans="2:33" ht="72" x14ac:dyDescent="0.25">
      <c r="B156" s="1952"/>
      <c r="C156" s="1975"/>
      <c r="D156" s="1975"/>
      <c r="E156" s="1819" t="s">
        <v>4043</v>
      </c>
      <c r="F156" s="685" t="s">
        <v>4037</v>
      </c>
      <c r="G156" s="976" t="s">
        <v>4040</v>
      </c>
      <c r="H156" s="655"/>
      <c r="I156" s="1" t="s">
        <v>19</v>
      </c>
      <c r="J156" s="1817">
        <v>10.65</v>
      </c>
      <c r="K156" s="1817">
        <v>20.43</v>
      </c>
      <c r="L156" s="655"/>
      <c r="M156" s="1817">
        <v>30.22</v>
      </c>
      <c r="N156" s="655"/>
      <c r="O156" s="1817">
        <v>40</v>
      </c>
      <c r="P156" s="535"/>
      <c r="Q156" s="1817">
        <v>49.78</v>
      </c>
      <c r="R156" s="535"/>
      <c r="S156" s="1817">
        <v>59.57</v>
      </c>
      <c r="T156" s="535"/>
      <c r="U156" s="1817">
        <v>69.349999999999994</v>
      </c>
      <c r="V156" s="535"/>
      <c r="W156" s="1817">
        <v>69.349999999999994</v>
      </c>
      <c r="X156" s="302"/>
      <c r="Y156" s="303"/>
    </row>
    <row r="157" spans="2:33" ht="96.75" thickBot="1" x14ac:dyDescent="0.3">
      <c r="B157" s="1952"/>
      <c r="C157" s="1819"/>
      <c r="D157" s="1819"/>
      <c r="E157" s="1819" t="s">
        <v>4044</v>
      </c>
      <c r="F157" s="172" t="s">
        <v>4038</v>
      </c>
      <c r="G157" s="1775" t="s">
        <v>4041</v>
      </c>
      <c r="H157" s="655"/>
      <c r="I157" s="1" t="s">
        <v>19</v>
      </c>
      <c r="J157" s="1817">
        <v>25</v>
      </c>
      <c r="K157" s="1817">
        <v>31.739000000000001</v>
      </c>
      <c r="L157" s="655"/>
      <c r="M157" s="1817">
        <v>37.390999999999998</v>
      </c>
      <c r="N157" s="655"/>
      <c r="O157" s="1817">
        <v>43.042999999999999</v>
      </c>
      <c r="P157" s="535"/>
      <c r="Q157" s="1817">
        <v>48.695999999999998</v>
      </c>
      <c r="R157" s="535"/>
      <c r="S157" s="1817">
        <v>54.347999999999999</v>
      </c>
      <c r="T157" s="535"/>
      <c r="U157" s="1817">
        <v>60</v>
      </c>
      <c r="V157" s="535"/>
      <c r="W157" s="1817">
        <v>60</v>
      </c>
      <c r="X157" s="302"/>
      <c r="Y157" s="303"/>
    </row>
    <row r="158" spans="2:33" ht="36" x14ac:dyDescent="0.25">
      <c r="B158" s="1952"/>
      <c r="C158" s="8"/>
      <c r="D158" s="8"/>
      <c r="E158" s="8"/>
      <c r="F158" s="195"/>
      <c r="G158" s="17" t="s">
        <v>1386</v>
      </c>
      <c r="H158" s="194" t="s">
        <v>3208</v>
      </c>
      <c r="I158" s="1" t="s">
        <v>19</v>
      </c>
      <c r="J158" s="304">
        <v>91.2</v>
      </c>
      <c r="K158" s="304">
        <v>91.7</v>
      </c>
      <c r="L158" s="201">
        <f>SUM(L159:L172)</f>
        <v>4643245</v>
      </c>
      <c r="M158" s="304">
        <v>92.2</v>
      </c>
      <c r="N158" s="201">
        <f>SUM(N159:N172)</f>
        <v>4996000</v>
      </c>
      <c r="O158" s="304">
        <v>92.7</v>
      </c>
      <c r="P158" s="201">
        <f>SUM(P159:P172)</f>
        <v>5298000</v>
      </c>
      <c r="Q158" s="304">
        <v>93.2</v>
      </c>
      <c r="R158" s="201">
        <f>SUM(R159:R172)</f>
        <v>5601000</v>
      </c>
      <c r="S158" s="304">
        <v>93.7</v>
      </c>
      <c r="T158" s="201">
        <f>SUM(T159:T172)</f>
        <v>5930000</v>
      </c>
      <c r="U158" s="304">
        <v>94.2</v>
      </c>
      <c r="V158" s="201">
        <f>SUM(V159:V172)</f>
        <v>5930000</v>
      </c>
      <c r="W158" s="305">
        <f>U158</f>
        <v>94.2</v>
      </c>
      <c r="X158" s="302"/>
      <c r="Y158" s="303" t="s">
        <v>1387</v>
      </c>
      <c r="AA158" s="956">
        <v>85</v>
      </c>
      <c r="AB158" s="956">
        <v>86</v>
      </c>
      <c r="AC158" s="956">
        <v>87</v>
      </c>
      <c r="AD158" s="956">
        <v>88</v>
      </c>
      <c r="AE158" s="956">
        <v>89</v>
      </c>
      <c r="AF158" s="956">
        <v>90</v>
      </c>
      <c r="AG158" s="956">
        <v>91</v>
      </c>
    </row>
    <row r="159" spans="2:33" ht="63.75" x14ac:dyDescent="0.25">
      <c r="B159" s="1952"/>
      <c r="C159" s="8"/>
      <c r="D159" s="8"/>
      <c r="E159" s="8"/>
      <c r="F159" s="8"/>
      <c r="G159" s="9" t="s">
        <v>2487</v>
      </c>
      <c r="H159" s="2" t="s">
        <v>2488</v>
      </c>
      <c r="I159" s="16" t="s">
        <v>97</v>
      </c>
      <c r="J159" s="3"/>
      <c r="K159" s="2">
        <v>70</v>
      </c>
      <c r="L159" s="306">
        <v>125000</v>
      </c>
      <c r="M159" s="307">
        <v>50</v>
      </c>
      <c r="N159" s="306">
        <v>135000</v>
      </c>
      <c r="O159" s="307">
        <v>50</v>
      </c>
      <c r="P159" s="306">
        <v>150000</v>
      </c>
      <c r="Q159" s="307">
        <v>50</v>
      </c>
      <c r="R159" s="306">
        <v>165000</v>
      </c>
      <c r="S159" s="307">
        <v>50</v>
      </c>
      <c r="T159" s="306">
        <v>180000</v>
      </c>
      <c r="U159" s="307">
        <v>50</v>
      </c>
      <c r="V159" s="306">
        <v>180000</v>
      </c>
      <c r="W159" s="307"/>
      <c r="X159" s="308"/>
      <c r="Y159" s="303" t="s">
        <v>1387</v>
      </c>
    </row>
    <row r="160" spans="2:33" ht="51" x14ac:dyDescent="0.25">
      <c r="B160" s="1952"/>
      <c r="C160" s="8"/>
      <c r="D160" s="8"/>
      <c r="E160" s="8"/>
      <c r="F160" s="8"/>
      <c r="G160" s="2" t="s">
        <v>2489</v>
      </c>
      <c r="H160" s="2" t="s">
        <v>2490</v>
      </c>
      <c r="I160" s="16" t="s">
        <v>1407</v>
      </c>
      <c r="J160" s="309"/>
      <c r="K160" s="2">
        <v>10</v>
      </c>
      <c r="L160" s="306">
        <v>70000</v>
      </c>
      <c r="M160" s="2">
        <v>10</v>
      </c>
      <c r="N160" s="306">
        <v>80000</v>
      </c>
      <c r="O160" s="307">
        <v>10</v>
      </c>
      <c r="P160" s="306">
        <v>90000</v>
      </c>
      <c r="Q160" s="2">
        <v>10</v>
      </c>
      <c r="R160" s="306">
        <v>100000</v>
      </c>
      <c r="S160" s="2">
        <v>10</v>
      </c>
      <c r="T160" s="306">
        <v>110000</v>
      </c>
      <c r="U160" s="2">
        <v>10</v>
      </c>
      <c r="V160" s="306">
        <v>110000</v>
      </c>
      <c r="W160" s="307"/>
      <c r="X160" s="308"/>
      <c r="Y160" s="303" t="s">
        <v>1387</v>
      </c>
    </row>
    <row r="161" spans="2:25" ht="63.75" x14ac:dyDescent="0.25">
      <c r="B161" s="1952"/>
      <c r="C161" s="8"/>
      <c r="D161" s="8"/>
      <c r="E161" s="8"/>
      <c r="F161" s="8"/>
      <c r="G161" s="2" t="s">
        <v>2491</v>
      </c>
      <c r="H161" s="2" t="s">
        <v>2492</v>
      </c>
      <c r="I161" s="16" t="s">
        <v>97</v>
      </c>
      <c r="J161" s="3"/>
      <c r="K161" s="2">
        <v>2</v>
      </c>
      <c r="L161" s="306">
        <v>380000</v>
      </c>
      <c r="M161" s="307">
        <v>2</v>
      </c>
      <c r="N161" s="306">
        <v>400000</v>
      </c>
      <c r="O161" s="307">
        <v>2</v>
      </c>
      <c r="P161" s="306">
        <v>420000</v>
      </c>
      <c r="Q161" s="307">
        <v>2</v>
      </c>
      <c r="R161" s="306">
        <v>440000</v>
      </c>
      <c r="S161" s="307">
        <v>2</v>
      </c>
      <c r="T161" s="306">
        <v>460000</v>
      </c>
      <c r="U161" s="307">
        <v>2</v>
      </c>
      <c r="V161" s="306">
        <v>460000</v>
      </c>
      <c r="W161" s="307"/>
      <c r="X161" s="308"/>
      <c r="Y161" s="303" t="s">
        <v>1387</v>
      </c>
    </row>
    <row r="162" spans="2:25" ht="76.5" x14ac:dyDescent="0.25">
      <c r="B162" s="1952"/>
      <c r="C162" s="8"/>
      <c r="D162" s="8"/>
      <c r="E162" s="8"/>
      <c r="F162" s="8"/>
      <c r="G162" s="2" t="s">
        <v>2493</v>
      </c>
      <c r="H162" s="2" t="s">
        <v>2494</v>
      </c>
      <c r="I162" s="16" t="s">
        <v>97</v>
      </c>
      <c r="J162" s="3"/>
      <c r="K162" s="2">
        <v>6</v>
      </c>
      <c r="L162" s="306">
        <v>240000</v>
      </c>
      <c r="M162" s="307">
        <v>5</v>
      </c>
      <c r="N162" s="306">
        <v>255000</v>
      </c>
      <c r="O162" s="307">
        <v>5</v>
      </c>
      <c r="P162" s="306">
        <v>270000</v>
      </c>
      <c r="Q162" s="307">
        <v>5</v>
      </c>
      <c r="R162" s="306">
        <v>285000</v>
      </c>
      <c r="S162" s="307">
        <v>5</v>
      </c>
      <c r="T162" s="306">
        <v>300000</v>
      </c>
      <c r="U162" s="307">
        <v>5</v>
      </c>
      <c r="V162" s="306">
        <v>300000</v>
      </c>
      <c r="W162" s="307"/>
      <c r="X162" s="308"/>
      <c r="Y162" s="303" t="s">
        <v>1387</v>
      </c>
    </row>
    <row r="163" spans="2:25" ht="63.75" x14ac:dyDescent="0.25">
      <c r="B163" s="1952"/>
      <c r="C163" s="8"/>
      <c r="D163" s="8"/>
      <c r="E163" s="8"/>
      <c r="F163" s="8"/>
      <c r="G163" s="2" t="s">
        <v>2495</v>
      </c>
      <c r="H163" s="2" t="s">
        <v>2496</v>
      </c>
      <c r="I163" s="16" t="s">
        <v>97</v>
      </c>
      <c r="J163" s="309"/>
      <c r="K163" s="2">
        <v>5</v>
      </c>
      <c r="L163" s="306">
        <v>723245</v>
      </c>
      <c r="M163" s="307">
        <v>7</v>
      </c>
      <c r="N163" s="306">
        <v>875000</v>
      </c>
      <c r="O163" s="307">
        <v>7</v>
      </c>
      <c r="P163" s="306">
        <v>918000</v>
      </c>
      <c r="Q163" s="307">
        <v>7</v>
      </c>
      <c r="R163" s="306">
        <v>964000</v>
      </c>
      <c r="S163" s="307">
        <v>7</v>
      </c>
      <c r="T163" s="306">
        <v>1012000</v>
      </c>
      <c r="U163" s="307">
        <v>7</v>
      </c>
      <c r="V163" s="306">
        <v>1012000</v>
      </c>
      <c r="W163" s="307"/>
      <c r="X163" s="308"/>
      <c r="Y163" s="303" t="s">
        <v>1387</v>
      </c>
    </row>
    <row r="164" spans="2:25" ht="102" x14ac:dyDescent="0.25">
      <c r="B164" s="1952"/>
      <c r="C164" s="8"/>
      <c r="D164" s="8"/>
      <c r="E164" s="8"/>
      <c r="F164" s="8"/>
      <c r="G164" s="2" t="s">
        <v>2497</v>
      </c>
      <c r="H164" s="2" t="s">
        <v>2498</v>
      </c>
      <c r="I164" s="16" t="s">
        <v>79</v>
      </c>
      <c r="J164" s="309"/>
      <c r="K164" s="2">
        <v>1</v>
      </c>
      <c r="L164" s="306">
        <v>15000</v>
      </c>
      <c r="M164" s="307">
        <v>1</v>
      </c>
      <c r="N164" s="306">
        <v>20000</v>
      </c>
      <c r="O164" s="307">
        <v>1</v>
      </c>
      <c r="P164" s="306">
        <v>25000</v>
      </c>
      <c r="Q164" s="307">
        <v>1</v>
      </c>
      <c r="R164" s="306">
        <v>30000</v>
      </c>
      <c r="S164" s="307">
        <v>1</v>
      </c>
      <c r="T164" s="306">
        <v>35000</v>
      </c>
      <c r="U164" s="307">
        <v>1</v>
      </c>
      <c r="V164" s="306">
        <v>35000</v>
      </c>
      <c r="W164" s="307"/>
      <c r="X164" s="308"/>
      <c r="Y164" s="303" t="s">
        <v>1387</v>
      </c>
    </row>
    <row r="165" spans="2:25" ht="51" x14ac:dyDescent="0.25">
      <c r="B165" s="1952"/>
      <c r="C165" s="8"/>
      <c r="D165" s="8"/>
      <c r="E165" s="8"/>
      <c r="F165" s="8"/>
      <c r="G165" s="2" t="s">
        <v>2499</v>
      </c>
      <c r="H165" s="2" t="s">
        <v>2500</v>
      </c>
      <c r="I165" s="16" t="s">
        <v>97</v>
      </c>
      <c r="J165" s="309"/>
      <c r="K165" s="2">
        <v>2</v>
      </c>
      <c r="L165" s="306">
        <v>25000</v>
      </c>
      <c r="M165" s="307">
        <v>5</v>
      </c>
      <c r="N165" s="306">
        <v>55000</v>
      </c>
      <c r="O165" s="307">
        <v>5</v>
      </c>
      <c r="P165" s="306">
        <v>65000</v>
      </c>
      <c r="Q165" s="307">
        <v>5</v>
      </c>
      <c r="R165" s="306">
        <v>75000</v>
      </c>
      <c r="S165" s="307">
        <v>5</v>
      </c>
      <c r="T165" s="306">
        <v>85000</v>
      </c>
      <c r="U165" s="307">
        <v>5</v>
      </c>
      <c r="V165" s="306">
        <v>85000</v>
      </c>
      <c r="W165" s="307"/>
      <c r="X165" s="308"/>
      <c r="Y165" s="303" t="s">
        <v>1387</v>
      </c>
    </row>
    <row r="166" spans="2:25" ht="114.75" x14ac:dyDescent="0.25">
      <c r="B166" s="1952"/>
      <c r="C166" s="8"/>
      <c r="D166" s="8"/>
      <c r="E166" s="8"/>
      <c r="F166" s="8"/>
      <c r="G166" s="2" t="s">
        <v>2501</v>
      </c>
      <c r="H166" s="2" t="s">
        <v>2502</v>
      </c>
      <c r="I166" s="16" t="s">
        <v>97</v>
      </c>
      <c r="J166" s="309"/>
      <c r="K166" s="2">
        <v>32</v>
      </c>
      <c r="L166" s="306">
        <v>1180000</v>
      </c>
      <c r="M166" s="307">
        <v>32</v>
      </c>
      <c r="N166" s="306">
        <v>1185000</v>
      </c>
      <c r="O166" s="307">
        <v>32</v>
      </c>
      <c r="P166" s="306">
        <v>1254000</v>
      </c>
      <c r="Q166" s="307">
        <v>32</v>
      </c>
      <c r="R166" s="306">
        <v>1317000</v>
      </c>
      <c r="S166" s="307">
        <v>32</v>
      </c>
      <c r="T166" s="306">
        <v>1383000</v>
      </c>
      <c r="U166" s="307">
        <v>32</v>
      </c>
      <c r="V166" s="306">
        <v>1383000</v>
      </c>
      <c r="W166" s="307"/>
      <c r="X166" s="308"/>
      <c r="Y166" s="303" t="s">
        <v>1387</v>
      </c>
    </row>
    <row r="167" spans="2:25" ht="76.5" x14ac:dyDescent="0.25">
      <c r="B167" s="1952"/>
      <c r="C167" s="8"/>
      <c r="D167" s="8"/>
      <c r="E167" s="8"/>
      <c r="F167" s="8"/>
      <c r="G167" s="2" t="s">
        <v>2503</v>
      </c>
      <c r="H167" s="2" t="s">
        <v>2504</v>
      </c>
      <c r="I167" s="16" t="s">
        <v>2505</v>
      </c>
      <c r="J167" s="309"/>
      <c r="K167" s="2">
        <v>45</v>
      </c>
      <c r="L167" s="306">
        <v>720000</v>
      </c>
      <c r="M167" s="307">
        <v>45</v>
      </c>
      <c r="N167" s="306">
        <v>756000</v>
      </c>
      <c r="O167" s="307">
        <v>45</v>
      </c>
      <c r="P167" s="306">
        <v>793000</v>
      </c>
      <c r="Q167" s="307">
        <v>45</v>
      </c>
      <c r="R167" s="306">
        <v>833000</v>
      </c>
      <c r="S167" s="307">
        <v>45</v>
      </c>
      <c r="T167" s="306">
        <v>875000</v>
      </c>
      <c r="U167" s="307">
        <v>45</v>
      </c>
      <c r="V167" s="306">
        <v>875000</v>
      </c>
      <c r="W167" s="307"/>
      <c r="X167" s="308"/>
      <c r="Y167" s="303" t="s">
        <v>1387</v>
      </c>
    </row>
    <row r="168" spans="2:25" ht="63.75" x14ac:dyDescent="0.25">
      <c r="B168" s="1952"/>
      <c r="C168" s="8"/>
      <c r="D168" s="8"/>
      <c r="E168" s="8"/>
      <c r="F168" s="8"/>
      <c r="G168" s="2" t="s">
        <v>2506</v>
      </c>
      <c r="H168" s="2" t="s">
        <v>2507</v>
      </c>
      <c r="I168" s="16" t="s">
        <v>79</v>
      </c>
      <c r="J168" s="309"/>
      <c r="K168" s="2">
        <v>52</v>
      </c>
      <c r="L168" s="306">
        <v>65000</v>
      </c>
      <c r="M168" s="307">
        <v>52</v>
      </c>
      <c r="N168" s="306">
        <v>75000</v>
      </c>
      <c r="O168" s="307">
        <v>52</v>
      </c>
      <c r="P168" s="306">
        <v>85000</v>
      </c>
      <c r="Q168" s="307">
        <v>52</v>
      </c>
      <c r="R168" s="306">
        <v>95000</v>
      </c>
      <c r="S168" s="307">
        <v>52</v>
      </c>
      <c r="T168" s="306">
        <v>110000</v>
      </c>
      <c r="U168" s="307">
        <v>52</v>
      </c>
      <c r="V168" s="306">
        <v>110000</v>
      </c>
      <c r="W168" s="307"/>
      <c r="X168" s="308"/>
      <c r="Y168" s="303" t="s">
        <v>1387</v>
      </c>
    </row>
    <row r="169" spans="2:25" ht="76.5" x14ac:dyDescent="0.25">
      <c r="B169" s="1952"/>
      <c r="C169" s="8"/>
      <c r="D169" s="8"/>
      <c r="E169" s="8"/>
      <c r="F169" s="8"/>
      <c r="G169" s="2" t="s">
        <v>2508</v>
      </c>
      <c r="H169" s="2" t="s">
        <v>2509</v>
      </c>
      <c r="I169" s="16" t="s">
        <v>79</v>
      </c>
      <c r="J169" s="3"/>
      <c r="K169" s="2">
        <v>2</v>
      </c>
      <c r="L169" s="306">
        <v>35000</v>
      </c>
      <c r="M169" s="307">
        <v>2</v>
      </c>
      <c r="N169" s="306">
        <v>40000</v>
      </c>
      <c r="O169" s="307">
        <v>2</v>
      </c>
      <c r="P169" s="306">
        <v>45000</v>
      </c>
      <c r="Q169" s="307">
        <v>2</v>
      </c>
      <c r="R169" s="306">
        <v>50000</v>
      </c>
      <c r="S169" s="307">
        <v>2</v>
      </c>
      <c r="T169" s="306">
        <v>55000</v>
      </c>
      <c r="U169" s="307">
        <v>2</v>
      </c>
      <c r="V169" s="306">
        <v>55000</v>
      </c>
      <c r="W169" s="307"/>
      <c r="X169" s="308"/>
      <c r="Y169" s="303" t="s">
        <v>1387</v>
      </c>
    </row>
    <row r="170" spans="2:25" ht="89.25" x14ac:dyDescent="0.25">
      <c r="B170" s="1952"/>
      <c r="C170" s="8"/>
      <c r="D170" s="8"/>
      <c r="E170" s="8"/>
      <c r="F170" s="8"/>
      <c r="G170" s="2" t="s">
        <v>2510</v>
      </c>
      <c r="H170" s="2" t="s">
        <v>2511</v>
      </c>
      <c r="I170" s="16" t="s">
        <v>2512</v>
      </c>
      <c r="J170" s="309"/>
      <c r="K170" s="2">
        <v>31</v>
      </c>
      <c r="L170" s="306">
        <v>850000</v>
      </c>
      <c r="M170" s="307">
        <v>26</v>
      </c>
      <c r="N170" s="306">
        <v>892000</v>
      </c>
      <c r="O170" s="307">
        <v>26</v>
      </c>
      <c r="P170" s="306">
        <v>937000</v>
      </c>
      <c r="Q170" s="307">
        <v>26</v>
      </c>
      <c r="R170" s="306">
        <v>983000</v>
      </c>
      <c r="S170" s="307">
        <v>26</v>
      </c>
      <c r="T170" s="306">
        <v>1033000</v>
      </c>
      <c r="U170" s="307">
        <v>26</v>
      </c>
      <c r="V170" s="306">
        <v>1033000</v>
      </c>
      <c r="W170" s="307"/>
      <c r="X170" s="308"/>
      <c r="Y170" s="303" t="s">
        <v>1387</v>
      </c>
    </row>
    <row r="171" spans="2:25" ht="76.5" x14ac:dyDescent="0.25">
      <c r="B171" s="1952"/>
      <c r="C171" s="8"/>
      <c r="D171" s="8"/>
      <c r="E171" s="8"/>
      <c r="F171" s="8"/>
      <c r="G171" s="2" t="s">
        <v>2513</v>
      </c>
      <c r="H171" s="2" t="s">
        <v>2514</v>
      </c>
      <c r="I171" s="16" t="s">
        <v>79</v>
      </c>
      <c r="J171" s="309"/>
      <c r="K171" s="2">
        <v>1</v>
      </c>
      <c r="L171" s="306">
        <v>65000</v>
      </c>
      <c r="M171" s="307">
        <v>1</v>
      </c>
      <c r="N171" s="306">
        <v>68000</v>
      </c>
      <c r="O171" s="307">
        <v>1</v>
      </c>
      <c r="P171" s="306">
        <v>71000</v>
      </c>
      <c r="Q171" s="307">
        <v>1</v>
      </c>
      <c r="R171" s="306">
        <v>74000</v>
      </c>
      <c r="S171" s="307">
        <v>1</v>
      </c>
      <c r="T171" s="306">
        <v>77000</v>
      </c>
      <c r="U171" s="307">
        <v>1</v>
      </c>
      <c r="V171" s="306">
        <v>77000</v>
      </c>
      <c r="W171" s="307"/>
      <c r="X171" s="308"/>
      <c r="Y171" s="303" t="s">
        <v>1387</v>
      </c>
    </row>
    <row r="172" spans="2:25" ht="38.25" x14ac:dyDescent="0.25">
      <c r="B172" s="1953"/>
      <c r="C172" s="9"/>
      <c r="D172" s="9"/>
      <c r="E172" s="9"/>
      <c r="F172" s="9"/>
      <c r="G172" s="2" t="s">
        <v>2515</v>
      </c>
      <c r="H172" s="2" t="s">
        <v>2516</v>
      </c>
      <c r="I172" s="16" t="s">
        <v>1123</v>
      </c>
      <c r="J172" s="310"/>
      <c r="K172" s="311">
        <v>50</v>
      </c>
      <c r="L172" s="306">
        <v>150000</v>
      </c>
      <c r="M172" s="307">
        <v>50</v>
      </c>
      <c r="N172" s="306">
        <v>160000</v>
      </c>
      <c r="O172" s="307">
        <v>50</v>
      </c>
      <c r="P172" s="306">
        <v>175000</v>
      </c>
      <c r="Q172" s="307">
        <v>50</v>
      </c>
      <c r="R172" s="306">
        <v>190000</v>
      </c>
      <c r="S172" s="307">
        <v>50</v>
      </c>
      <c r="T172" s="306">
        <v>215000</v>
      </c>
      <c r="U172" s="307">
        <v>50</v>
      </c>
      <c r="V172" s="306">
        <v>215000</v>
      </c>
      <c r="W172" s="307"/>
      <c r="X172" s="308"/>
      <c r="Y172" s="303" t="s">
        <v>1387</v>
      </c>
    </row>
    <row r="173" spans="2:25" x14ac:dyDescent="0.25">
      <c r="B173" s="977"/>
      <c r="C173" s="204"/>
      <c r="D173" s="204"/>
      <c r="E173" s="204"/>
      <c r="F173" s="8"/>
      <c r="G173" s="2"/>
      <c r="H173" s="7"/>
      <c r="I173" s="208"/>
      <c r="J173" s="310"/>
      <c r="K173" s="311"/>
      <c r="L173" s="306"/>
      <c r="M173" s="307"/>
      <c r="N173" s="306"/>
      <c r="O173" s="307"/>
      <c r="P173" s="306"/>
      <c r="Q173" s="307"/>
      <c r="R173" s="306"/>
      <c r="S173" s="307"/>
      <c r="T173" s="306"/>
      <c r="U173" s="307"/>
      <c r="V173" s="306"/>
      <c r="W173" s="307"/>
      <c r="X173" s="308"/>
      <c r="Y173" s="303" t="s">
        <v>1387</v>
      </c>
    </row>
    <row r="174" spans="2:25" ht="48" customHeight="1" x14ac:dyDescent="0.25">
      <c r="B174" s="1951" t="s">
        <v>33</v>
      </c>
      <c r="C174" s="1946" t="s">
        <v>34</v>
      </c>
      <c r="D174" s="1946" t="s">
        <v>3831</v>
      </c>
      <c r="E174" s="1792" t="s">
        <v>3992</v>
      </c>
      <c r="F174" s="1946" t="s">
        <v>3913</v>
      </c>
      <c r="G174" s="38" t="s">
        <v>3133</v>
      </c>
      <c r="H174" s="206" t="s">
        <v>385</v>
      </c>
      <c r="I174" s="312" t="s">
        <v>19</v>
      </c>
      <c r="J174" s="313">
        <v>90</v>
      </c>
      <c r="K174" s="194">
        <v>91</v>
      </c>
      <c r="L174" s="314"/>
      <c r="M174" s="194">
        <v>92</v>
      </c>
      <c r="N174" s="314"/>
      <c r="O174" s="194">
        <v>93</v>
      </c>
      <c r="P174" s="314"/>
      <c r="Q174" s="194">
        <v>94</v>
      </c>
      <c r="R174" s="314"/>
      <c r="S174" s="194">
        <v>95</v>
      </c>
      <c r="T174" s="314"/>
      <c r="U174" s="194">
        <v>96</v>
      </c>
      <c r="V174" s="314"/>
      <c r="W174" s="194">
        <v>96</v>
      </c>
      <c r="X174" s="315"/>
      <c r="Y174" s="303" t="s">
        <v>1387</v>
      </c>
    </row>
    <row r="175" spans="2:25" ht="84" x14ac:dyDescent="0.25">
      <c r="B175" s="1952"/>
      <c r="C175" s="1947"/>
      <c r="D175" s="1947"/>
      <c r="E175" s="1793"/>
      <c r="F175" s="1947"/>
      <c r="G175" s="17" t="s">
        <v>36</v>
      </c>
      <c r="H175" s="17" t="s">
        <v>1488</v>
      </c>
      <c r="I175" s="1" t="s">
        <v>40</v>
      </c>
      <c r="J175" s="317">
        <v>100</v>
      </c>
      <c r="K175" s="318">
        <v>20</v>
      </c>
      <c r="L175" s="201">
        <f>SUM(L176:L188)</f>
        <v>159000</v>
      </c>
      <c r="M175" s="318">
        <v>20</v>
      </c>
      <c r="N175" s="201">
        <f>SUM(N176:N188)</f>
        <v>204500</v>
      </c>
      <c r="O175" s="318">
        <v>15</v>
      </c>
      <c r="P175" s="201">
        <f>SUM(P176:P188)</f>
        <v>245500</v>
      </c>
      <c r="Q175" s="318">
        <v>15</v>
      </c>
      <c r="R175" s="201">
        <f>SUM(R176:R188)</f>
        <v>289500</v>
      </c>
      <c r="S175" s="318">
        <v>15</v>
      </c>
      <c r="T175" s="201">
        <f>SUM(T176:T188)</f>
        <v>335500</v>
      </c>
      <c r="U175" s="318">
        <v>15</v>
      </c>
      <c r="V175" s="201">
        <f>SUM(V176:V188)</f>
        <v>335500</v>
      </c>
      <c r="W175" s="318">
        <v>100</v>
      </c>
      <c r="X175" s="319"/>
      <c r="Y175" s="303" t="s">
        <v>1387</v>
      </c>
    </row>
    <row r="176" spans="2:25" ht="51" x14ac:dyDescent="0.25">
      <c r="B176" s="1952"/>
      <c r="C176" s="1820"/>
      <c r="D176" s="1820"/>
      <c r="E176" s="1820"/>
      <c r="F176" s="316"/>
      <c r="G176" s="15" t="s">
        <v>124</v>
      </c>
      <c r="H176" s="15" t="s">
        <v>2517</v>
      </c>
      <c r="I176" s="16" t="s">
        <v>40</v>
      </c>
      <c r="J176" s="309"/>
      <c r="K176" s="311">
        <v>12</v>
      </c>
      <c r="L176" s="202">
        <v>500</v>
      </c>
      <c r="M176" s="311">
        <v>12</v>
      </c>
      <c r="N176" s="202">
        <v>1000</v>
      </c>
      <c r="O176" s="311">
        <v>12</v>
      </c>
      <c r="P176" s="202">
        <v>1500</v>
      </c>
      <c r="Q176" s="311">
        <v>12</v>
      </c>
      <c r="R176" s="202">
        <v>2000</v>
      </c>
      <c r="S176" s="311">
        <v>12</v>
      </c>
      <c r="T176" s="202">
        <v>2500</v>
      </c>
      <c r="U176" s="311">
        <v>12</v>
      </c>
      <c r="V176" s="202">
        <v>2500</v>
      </c>
      <c r="W176" s="311"/>
      <c r="X176" s="319"/>
      <c r="Y176" s="303" t="s">
        <v>1387</v>
      </c>
    </row>
    <row r="177" spans="2:25" ht="63.75" x14ac:dyDescent="0.25">
      <c r="B177" s="1952"/>
      <c r="C177" s="1820"/>
      <c r="D177" s="1820"/>
      <c r="E177" s="1820"/>
      <c r="F177" s="204"/>
      <c r="G177" s="15" t="s">
        <v>126</v>
      </c>
      <c r="H177" s="15" t="s">
        <v>2518</v>
      </c>
      <c r="I177" s="16" t="s">
        <v>40</v>
      </c>
      <c r="J177" s="309"/>
      <c r="K177" s="311">
        <v>12</v>
      </c>
      <c r="L177" s="202">
        <v>19000</v>
      </c>
      <c r="M177" s="311">
        <v>12</v>
      </c>
      <c r="N177" s="306">
        <v>25000</v>
      </c>
      <c r="O177" s="311">
        <v>12</v>
      </c>
      <c r="P177" s="306">
        <v>28000</v>
      </c>
      <c r="Q177" s="311">
        <v>12</v>
      </c>
      <c r="R177" s="306">
        <v>35000</v>
      </c>
      <c r="S177" s="311">
        <v>12</v>
      </c>
      <c r="T177" s="306">
        <v>40000</v>
      </c>
      <c r="U177" s="311">
        <v>12</v>
      </c>
      <c r="V177" s="306">
        <v>40000</v>
      </c>
      <c r="W177" s="311"/>
      <c r="X177" s="320"/>
      <c r="Y177" s="303" t="s">
        <v>1387</v>
      </c>
    </row>
    <row r="178" spans="2:25" ht="89.25" x14ac:dyDescent="0.25">
      <c r="B178" s="1952"/>
      <c r="C178" s="1820"/>
      <c r="D178" s="1820"/>
      <c r="E178" s="1820"/>
      <c r="F178" s="204"/>
      <c r="G178" s="15" t="s">
        <v>43</v>
      </c>
      <c r="H178" s="15" t="s">
        <v>2519</v>
      </c>
      <c r="I178" s="16" t="s">
        <v>40</v>
      </c>
      <c r="J178" s="321"/>
      <c r="K178" s="311">
        <v>12</v>
      </c>
      <c r="L178" s="202">
        <v>35000</v>
      </c>
      <c r="M178" s="311">
        <v>12</v>
      </c>
      <c r="N178" s="306">
        <v>45000</v>
      </c>
      <c r="O178" s="311">
        <v>12</v>
      </c>
      <c r="P178" s="306">
        <v>55000</v>
      </c>
      <c r="Q178" s="311">
        <v>12</v>
      </c>
      <c r="R178" s="306">
        <v>65000</v>
      </c>
      <c r="S178" s="311">
        <v>12</v>
      </c>
      <c r="T178" s="306">
        <v>75000</v>
      </c>
      <c r="U178" s="311">
        <v>12</v>
      </c>
      <c r="V178" s="306">
        <v>75000</v>
      </c>
      <c r="W178" s="311"/>
      <c r="X178" s="320"/>
      <c r="Y178" s="303" t="s">
        <v>1387</v>
      </c>
    </row>
    <row r="179" spans="2:25" ht="51" x14ac:dyDescent="0.25">
      <c r="B179" s="1952"/>
      <c r="C179" s="1820"/>
      <c r="D179" s="1820"/>
      <c r="E179" s="1820"/>
      <c r="F179" s="204"/>
      <c r="G179" s="15" t="s">
        <v>45</v>
      </c>
      <c r="H179" s="15" t="s">
        <v>2520</v>
      </c>
      <c r="I179" s="16" t="s">
        <v>40</v>
      </c>
      <c r="J179" s="321"/>
      <c r="K179" s="311">
        <v>12</v>
      </c>
      <c r="L179" s="202">
        <v>30000</v>
      </c>
      <c r="M179" s="311">
        <v>12</v>
      </c>
      <c r="N179" s="306">
        <v>35000</v>
      </c>
      <c r="O179" s="311">
        <v>12</v>
      </c>
      <c r="P179" s="306">
        <v>40000</v>
      </c>
      <c r="Q179" s="311">
        <v>12</v>
      </c>
      <c r="R179" s="306">
        <v>45000</v>
      </c>
      <c r="S179" s="311">
        <v>12</v>
      </c>
      <c r="T179" s="306">
        <v>50000</v>
      </c>
      <c r="U179" s="311">
        <v>12</v>
      </c>
      <c r="V179" s="306">
        <v>50000</v>
      </c>
      <c r="W179" s="311"/>
      <c r="X179" s="320"/>
      <c r="Y179" s="303" t="s">
        <v>1387</v>
      </c>
    </row>
    <row r="180" spans="2:25" ht="63.75" x14ac:dyDescent="0.25">
      <c r="B180" s="1952"/>
      <c r="C180" s="1820"/>
      <c r="D180" s="1820"/>
      <c r="E180" s="1820"/>
      <c r="F180" s="204"/>
      <c r="G180" s="15" t="s">
        <v>47</v>
      </c>
      <c r="H180" s="15" t="s">
        <v>2521</v>
      </c>
      <c r="I180" s="16" t="s">
        <v>40</v>
      </c>
      <c r="J180" s="321"/>
      <c r="K180" s="311">
        <v>12</v>
      </c>
      <c r="L180" s="202">
        <v>7500</v>
      </c>
      <c r="M180" s="311">
        <v>12</v>
      </c>
      <c r="N180" s="306">
        <v>10000</v>
      </c>
      <c r="O180" s="311">
        <v>12</v>
      </c>
      <c r="P180" s="306">
        <v>12500</v>
      </c>
      <c r="Q180" s="311">
        <v>12</v>
      </c>
      <c r="R180" s="306">
        <v>15000</v>
      </c>
      <c r="S180" s="311">
        <v>12</v>
      </c>
      <c r="T180" s="306">
        <v>17500</v>
      </c>
      <c r="U180" s="311">
        <v>12</v>
      </c>
      <c r="V180" s="306">
        <v>17500</v>
      </c>
      <c r="W180" s="311"/>
      <c r="X180" s="320"/>
      <c r="Y180" s="303" t="s">
        <v>1387</v>
      </c>
    </row>
    <row r="181" spans="2:25" ht="76.5" x14ac:dyDescent="0.25">
      <c r="B181" s="1952"/>
      <c r="C181" s="1820"/>
      <c r="D181" s="1820"/>
      <c r="E181" s="1820"/>
      <c r="F181" s="204"/>
      <c r="G181" s="15" t="s">
        <v>130</v>
      </c>
      <c r="H181" s="15" t="s">
        <v>2522</v>
      </c>
      <c r="I181" s="16" t="s">
        <v>40</v>
      </c>
      <c r="J181" s="321"/>
      <c r="K181" s="311">
        <v>12</v>
      </c>
      <c r="L181" s="202">
        <v>8000</v>
      </c>
      <c r="M181" s="311">
        <v>12</v>
      </c>
      <c r="N181" s="306">
        <v>10000</v>
      </c>
      <c r="O181" s="311">
        <v>12</v>
      </c>
      <c r="P181" s="306">
        <v>12500</v>
      </c>
      <c r="Q181" s="311">
        <v>12</v>
      </c>
      <c r="R181" s="306">
        <v>14000</v>
      </c>
      <c r="S181" s="311">
        <v>12</v>
      </c>
      <c r="T181" s="306">
        <v>17500</v>
      </c>
      <c r="U181" s="311">
        <v>12</v>
      </c>
      <c r="V181" s="306">
        <v>17500</v>
      </c>
      <c r="W181" s="311"/>
      <c r="X181" s="320"/>
      <c r="Y181" s="303" t="s">
        <v>1387</v>
      </c>
    </row>
    <row r="182" spans="2:25" ht="51" x14ac:dyDescent="0.25">
      <c r="B182" s="1952"/>
      <c r="C182" s="1820"/>
      <c r="D182" s="1820"/>
      <c r="E182" s="1820"/>
      <c r="F182" s="204"/>
      <c r="G182" s="15" t="s">
        <v>50</v>
      </c>
      <c r="H182" s="15" t="s">
        <v>2523</v>
      </c>
      <c r="I182" s="16" t="s">
        <v>40</v>
      </c>
      <c r="J182" s="321"/>
      <c r="K182" s="311">
        <v>12</v>
      </c>
      <c r="L182" s="202">
        <v>5000</v>
      </c>
      <c r="M182" s="311">
        <v>12</v>
      </c>
      <c r="N182" s="306">
        <v>7500</v>
      </c>
      <c r="O182" s="311">
        <v>12</v>
      </c>
      <c r="P182" s="306">
        <v>10000</v>
      </c>
      <c r="Q182" s="311">
        <v>12</v>
      </c>
      <c r="R182" s="306">
        <v>12500</v>
      </c>
      <c r="S182" s="311">
        <v>12</v>
      </c>
      <c r="T182" s="306">
        <v>15000</v>
      </c>
      <c r="U182" s="311">
        <v>12</v>
      </c>
      <c r="V182" s="306">
        <v>15000</v>
      </c>
      <c r="W182" s="311"/>
      <c r="X182" s="320"/>
      <c r="Y182" s="303" t="s">
        <v>1387</v>
      </c>
    </row>
    <row r="183" spans="2:25" ht="63.75" x14ac:dyDescent="0.25">
      <c r="B183" s="1952"/>
      <c r="C183" s="1820"/>
      <c r="D183" s="1820"/>
      <c r="E183" s="1820"/>
      <c r="F183" s="204"/>
      <c r="G183" s="15" t="s">
        <v>52</v>
      </c>
      <c r="H183" s="15" t="s">
        <v>2524</v>
      </c>
      <c r="I183" s="16" t="s">
        <v>40</v>
      </c>
      <c r="J183" s="321"/>
      <c r="K183" s="311">
        <v>12</v>
      </c>
      <c r="L183" s="202">
        <v>2500</v>
      </c>
      <c r="M183" s="311">
        <v>12</v>
      </c>
      <c r="N183" s="306">
        <v>4000</v>
      </c>
      <c r="O183" s="311">
        <v>12</v>
      </c>
      <c r="P183" s="306">
        <v>5000</v>
      </c>
      <c r="Q183" s="311">
        <v>12</v>
      </c>
      <c r="R183" s="306">
        <v>6000</v>
      </c>
      <c r="S183" s="311">
        <v>12</v>
      </c>
      <c r="T183" s="306">
        <v>7000</v>
      </c>
      <c r="U183" s="311">
        <v>12</v>
      </c>
      <c r="V183" s="306">
        <v>7000</v>
      </c>
      <c r="W183" s="311"/>
      <c r="X183" s="320"/>
      <c r="Y183" s="303" t="s">
        <v>1387</v>
      </c>
    </row>
    <row r="184" spans="2:25" ht="102" x14ac:dyDescent="0.25">
      <c r="B184" s="1952"/>
      <c r="C184" s="1820"/>
      <c r="D184" s="1820"/>
      <c r="E184" s="1820"/>
      <c r="F184" s="204"/>
      <c r="G184" s="15" t="s">
        <v>54</v>
      </c>
      <c r="H184" s="15" t="s">
        <v>2525</v>
      </c>
      <c r="I184" s="16" t="s">
        <v>40</v>
      </c>
      <c r="J184" s="321"/>
      <c r="K184" s="311">
        <v>12</v>
      </c>
      <c r="L184" s="202">
        <v>1500</v>
      </c>
      <c r="M184" s="311">
        <v>12</v>
      </c>
      <c r="N184" s="306">
        <v>2500</v>
      </c>
      <c r="O184" s="311">
        <v>12</v>
      </c>
      <c r="P184" s="306">
        <v>3000</v>
      </c>
      <c r="Q184" s="311">
        <v>12</v>
      </c>
      <c r="R184" s="306">
        <v>3500</v>
      </c>
      <c r="S184" s="311">
        <v>12</v>
      </c>
      <c r="T184" s="306">
        <v>4000</v>
      </c>
      <c r="U184" s="311">
        <v>12</v>
      </c>
      <c r="V184" s="306">
        <v>4000</v>
      </c>
      <c r="W184" s="311"/>
      <c r="X184" s="320"/>
      <c r="Y184" s="303" t="s">
        <v>1387</v>
      </c>
    </row>
    <row r="185" spans="2:25" ht="76.5" x14ac:dyDescent="0.25">
      <c r="B185" s="1952"/>
      <c r="C185" s="1820"/>
      <c r="D185" s="1820"/>
      <c r="E185" s="1820"/>
      <c r="F185" s="204"/>
      <c r="G185" s="15" t="s">
        <v>56</v>
      </c>
      <c r="H185" s="15" t="s">
        <v>2526</v>
      </c>
      <c r="I185" s="16" t="s">
        <v>40</v>
      </c>
      <c r="J185" s="321"/>
      <c r="K185" s="311">
        <v>12</v>
      </c>
      <c r="L185" s="202">
        <v>3000</v>
      </c>
      <c r="M185" s="311">
        <v>12</v>
      </c>
      <c r="N185" s="306">
        <v>3500</v>
      </c>
      <c r="O185" s="311">
        <v>12</v>
      </c>
      <c r="P185" s="306">
        <v>4000</v>
      </c>
      <c r="Q185" s="311">
        <v>12</v>
      </c>
      <c r="R185" s="306">
        <v>4500</v>
      </c>
      <c r="S185" s="311">
        <v>12</v>
      </c>
      <c r="T185" s="306">
        <v>5000</v>
      </c>
      <c r="U185" s="311">
        <v>12</v>
      </c>
      <c r="V185" s="306">
        <v>5000</v>
      </c>
      <c r="W185" s="311"/>
      <c r="X185" s="320"/>
      <c r="Y185" s="303" t="s">
        <v>1387</v>
      </c>
    </row>
    <row r="186" spans="2:25" ht="63.75" x14ac:dyDescent="0.25">
      <c r="B186" s="1952"/>
      <c r="C186" s="1820"/>
      <c r="D186" s="1820"/>
      <c r="E186" s="1820"/>
      <c r="F186" s="204"/>
      <c r="G186" s="15" t="s">
        <v>58</v>
      </c>
      <c r="H186" s="15" t="s">
        <v>2527</v>
      </c>
      <c r="I186" s="16" t="s">
        <v>40</v>
      </c>
      <c r="J186" s="321"/>
      <c r="K186" s="311">
        <v>12</v>
      </c>
      <c r="L186" s="202">
        <v>6000</v>
      </c>
      <c r="M186" s="311">
        <v>12</v>
      </c>
      <c r="N186" s="306">
        <v>8000</v>
      </c>
      <c r="O186" s="311">
        <v>12</v>
      </c>
      <c r="P186" s="306">
        <v>9000</v>
      </c>
      <c r="Q186" s="311">
        <v>12</v>
      </c>
      <c r="R186" s="306">
        <v>10000</v>
      </c>
      <c r="S186" s="311">
        <v>12</v>
      </c>
      <c r="T186" s="306">
        <v>12000</v>
      </c>
      <c r="U186" s="311">
        <v>12</v>
      </c>
      <c r="V186" s="306">
        <v>12000</v>
      </c>
      <c r="W186" s="311"/>
      <c r="X186" s="320"/>
      <c r="Y186" s="303" t="s">
        <v>1387</v>
      </c>
    </row>
    <row r="187" spans="2:25" ht="63.75" x14ac:dyDescent="0.25">
      <c r="B187" s="1952"/>
      <c r="C187" s="1820"/>
      <c r="D187" s="1820"/>
      <c r="E187" s="1820"/>
      <c r="F187" s="204"/>
      <c r="G187" s="15" t="s">
        <v>137</v>
      </c>
      <c r="H187" s="15" t="s">
        <v>2528</v>
      </c>
      <c r="I187" s="16" t="s">
        <v>40</v>
      </c>
      <c r="J187" s="321"/>
      <c r="K187" s="311">
        <v>12</v>
      </c>
      <c r="L187" s="202">
        <v>35000</v>
      </c>
      <c r="M187" s="311">
        <v>12</v>
      </c>
      <c r="N187" s="306">
        <v>45000</v>
      </c>
      <c r="O187" s="311">
        <v>12</v>
      </c>
      <c r="P187" s="306">
        <v>55000</v>
      </c>
      <c r="Q187" s="311">
        <v>12</v>
      </c>
      <c r="R187" s="306">
        <v>65000</v>
      </c>
      <c r="S187" s="311">
        <v>12</v>
      </c>
      <c r="T187" s="306">
        <v>75000</v>
      </c>
      <c r="U187" s="311">
        <v>12</v>
      </c>
      <c r="V187" s="306">
        <v>75000</v>
      </c>
      <c r="W187" s="311"/>
      <c r="X187" s="320"/>
      <c r="Y187" s="303" t="s">
        <v>1387</v>
      </c>
    </row>
    <row r="188" spans="2:25" ht="63.75" x14ac:dyDescent="0.25">
      <c r="B188" s="1952"/>
      <c r="C188" s="1820"/>
      <c r="D188" s="1820"/>
      <c r="E188" s="1820"/>
      <c r="F188" s="204"/>
      <c r="G188" s="15" t="s">
        <v>139</v>
      </c>
      <c r="H188" s="15" t="s">
        <v>2529</v>
      </c>
      <c r="I188" s="16" t="s">
        <v>40</v>
      </c>
      <c r="J188" s="321"/>
      <c r="K188" s="311">
        <v>12</v>
      </c>
      <c r="L188" s="202">
        <v>6000</v>
      </c>
      <c r="M188" s="311">
        <v>12</v>
      </c>
      <c r="N188" s="306">
        <v>8000</v>
      </c>
      <c r="O188" s="311">
        <v>12</v>
      </c>
      <c r="P188" s="306">
        <v>10000</v>
      </c>
      <c r="Q188" s="311">
        <v>12</v>
      </c>
      <c r="R188" s="306">
        <v>12000</v>
      </c>
      <c r="S188" s="311">
        <v>12</v>
      </c>
      <c r="T188" s="306">
        <v>15000</v>
      </c>
      <c r="U188" s="311">
        <v>12</v>
      </c>
      <c r="V188" s="306">
        <v>15000</v>
      </c>
      <c r="W188" s="311"/>
      <c r="X188" s="320"/>
      <c r="Y188" s="303" t="s">
        <v>1387</v>
      </c>
    </row>
    <row r="189" spans="2:25" ht="96" x14ac:dyDescent="0.25">
      <c r="B189" s="1952"/>
      <c r="C189" s="1820"/>
      <c r="D189" s="1820"/>
      <c r="E189" s="1820"/>
      <c r="F189" s="316"/>
      <c r="G189" s="17" t="s">
        <v>1494</v>
      </c>
      <c r="H189" s="17" t="s">
        <v>66</v>
      </c>
      <c r="I189" s="1" t="s">
        <v>19</v>
      </c>
      <c r="J189" s="322">
        <v>100</v>
      </c>
      <c r="K189" s="318">
        <v>20</v>
      </c>
      <c r="L189" s="323">
        <f>SUM(L190:L193)</f>
        <v>77500</v>
      </c>
      <c r="M189" s="318">
        <v>20</v>
      </c>
      <c r="N189" s="323">
        <f>SUM(N190:N193)</f>
        <v>90500</v>
      </c>
      <c r="O189" s="318">
        <v>15</v>
      </c>
      <c r="P189" s="323">
        <f>SUM(P190:P193)</f>
        <v>110000</v>
      </c>
      <c r="Q189" s="318">
        <v>15</v>
      </c>
      <c r="R189" s="323">
        <f>SUM(R190:R193)</f>
        <v>129500</v>
      </c>
      <c r="S189" s="318">
        <v>15</v>
      </c>
      <c r="T189" s="323">
        <f>SUM(T190:T193)</f>
        <v>150000</v>
      </c>
      <c r="U189" s="318">
        <v>15</v>
      </c>
      <c r="V189" s="323">
        <f>SUM(V190:V193)</f>
        <v>150000</v>
      </c>
      <c r="W189" s="318">
        <v>100</v>
      </c>
      <c r="X189" s="319"/>
      <c r="Y189" s="303" t="s">
        <v>1387</v>
      </c>
    </row>
    <row r="190" spans="2:25" ht="51" x14ac:dyDescent="0.25">
      <c r="B190" s="1952"/>
      <c r="C190" s="1820"/>
      <c r="D190" s="1820"/>
      <c r="E190" s="1820"/>
      <c r="F190" s="204"/>
      <c r="G190" s="15" t="s">
        <v>2530</v>
      </c>
      <c r="H190" s="15" t="s">
        <v>2531</v>
      </c>
      <c r="I190" s="16" t="s">
        <v>75</v>
      </c>
      <c r="J190" s="309"/>
      <c r="K190" s="311">
        <v>1</v>
      </c>
      <c r="L190" s="202">
        <v>30000</v>
      </c>
      <c r="M190" s="311">
        <v>2</v>
      </c>
      <c r="N190" s="202">
        <v>35000</v>
      </c>
      <c r="O190" s="311">
        <v>2</v>
      </c>
      <c r="P190" s="202">
        <v>40000</v>
      </c>
      <c r="Q190" s="311">
        <v>2</v>
      </c>
      <c r="R190" s="306">
        <v>45000</v>
      </c>
      <c r="S190" s="311">
        <v>2</v>
      </c>
      <c r="T190" s="306">
        <v>50000</v>
      </c>
      <c r="U190" s="311">
        <v>2</v>
      </c>
      <c r="V190" s="306">
        <v>50000</v>
      </c>
      <c r="W190" s="307"/>
      <c r="X190" s="308"/>
      <c r="Y190" s="303" t="s">
        <v>1387</v>
      </c>
    </row>
    <row r="191" spans="2:25" ht="38.25" x14ac:dyDescent="0.25">
      <c r="B191" s="1952"/>
      <c r="C191" s="1820"/>
      <c r="D191" s="1820"/>
      <c r="E191" s="1820"/>
      <c r="F191" s="204"/>
      <c r="G191" s="15" t="s">
        <v>149</v>
      </c>
      <c r="H191" s="15" t="s">
        <v>2532</v>
      </c>
      <c r="I191" s="16" t="s">
        <v>75</v>
      </c>
      <c r="J191" s="309"/>
      <c r="K191" s="311">
        <v>5</v>
      </c>
      <c r="L191" s="202">
        <v>22500</v>
      </c>
      <c r="M191" s="311">
        <v>5</v>
      </c>
      <c r="N191" s="306">
        <v>25000</v>
      </c>
      <c r="O191" s="311">
        <v>5</v>
      </c>
      <c r="P191" s="306">
        <v>35000</v>
      </c>
      <c r="Q191" s="311">
        <v>5</v>
      </c>
      <c r="R191" s="306">
        <v>45000</v>
      </c>
      <c r="S191" s="311">
        <v>5</v>
      </c>
      <c r="T191" s="306">
        <v>55000</v>
      </c>
      <c r="U191" s="311">
        <v>5</v>
      </c>
      <c r="V191" s="306">
        <v>55000</v>
      </c>
      <c r="W191" s="307"/>
      <c r="X191" s="308"/>
      <c r="Y191" s="303" t="s">
        <v>1387</v>
      </c>
    </row>
    <row r="192" spans="2:25" ht="25.5" x14ac:dyDescent="0.25">
      <c r="B192" s="1952"/>
      <c r="C192" s="1820"/>
      <c r="D192" s="1820"/>
      <c r="E192" s="1820"/>
      <c r="F192" s="204"/>
      <c r="G192" s="15" t="s">
        <v>2533</v>
      </c>
      <c r="H192" s="15" t="s">
        <v>2534</v>
      </c>
      <c r="I192" s="16" t="s">
        <v>75</v>
      </c>
      <c r="J192" s="321"/>
      <c r="K192" s="311">
        <v>5</v>
      </c>
      <c r="L192" s="202">
        <v>20000</v>
      </c>
      <c r="M192" s="311">
        <v>5</v>
      </c>
      <c r="N192" s="306">
        <v>22500</v>
      </c>
      <c r="O192" s="311">
        <v>5</v>
      </c>
      <c r="P192" s="306">
        <v>25000</v>
      </c>
      <c r="Q192" s="311">
        <v>5</v>
      </c>
      <c r="R192" s="306">
        <v>27500</v>
      </c>
      <c r="S192" s="311">
        <v>5</v>
      </c>
      <c r="T192" s="306">
        <v>30000</v>
      </c>
      <c r="U192" s="311">
        <v>5</v>
      </c>
      <c r="V192" s="306">
        <v>30000</v>
      </c>
      <c r="W192" s="307"/>
      <c r="X192" s="308"/>
      <c r="Y192" s="303" t="s">
        <v>1387</v>
      </c>
    </row>
    <row r="193" spans="2:25" ht="38.25" x14ac:dyDescent="0.25">
      <c r="B193" s="1952"/>
      <c r="C193" s="1820"/>
      <c r="D193" s="1820"/>
      <c r="E193" s="1820"/>
      <c r="F193" s="204"/>
      <c r="G193" s="15" t="s">
        <v>2439</v>
      </c>
      <c r="H193" s="15" t="s">
        <v>953</v>
      </c>
      <c r="I193" s="16" t="s">
        <v>75</v>
      </c>
      <c r="J193" s="324"/>
      <c r="K193" s="311">
        <v>1</v>
      </c>
      <c r="L193" s="202">
        <v>5000</v>
      </c>
      <c r="M193" s="311">
        <v>1</v>
      </c>
      <c r="N193" s="306">
        <v>8000</v>
      </c>
      <c r="O193" s="311">
        <v>1</v>
      </c>
      <c r="P193" s="306">
        <v>10000</v>
      </c>
      <c r="Q193" s="311">
        <v>1</v>
      </c>
      <c r="R193" s="306">
        <v>12000</v>
      </c>
      <c r="S193" s="311">
        <v>1</v>
      </c>
      <c r="T193" s="306">
        <v>15000</v>
      </c>
      <c r="U193" s="311">
        <v>1</v>
      </c>
      <c r="V193" s="306">
        <v>15000</v>
      </c>
      <c r="W193" s="307"/>
      <c r="X193" s="308"/>
      <c r="Y193" s="303" t="s">
        <v>1387</v>
      </c>
    </row>
    <row r="194" spans="2:25" ht="108" x14ac:dyDescent="0.25">
      <c r="B194" s="1952"/>
      <c r="C194" s="1820"/>
      <c r="D194" s="1820"/>
      <c r="E194" s="1820"/>
      <c r="F194" s="316"/>
      <c r="G194" s="17" t="s">
        <v>1502</v>
      </c>
      <c r="H194" s="17" t="s">
        <v>3175</v>
      </c>
      <c r="I194" s="1" t="s">
        <v>79</v>
      </c>
      <c r="J194" s="317">
        <v>6</v>
      </c>
      <c r="K194" s="318">
        <v>6</v>
      </c>
      <c r="L194" s="201">
        <f>SUM(L195)</f>
        <v>20000</v>
      </c>
      <c r="M194" s="318">
        <v>5</v>
      </c>
      <c r="N194" s="201">
        <f>SUM(N195)</f>
        <v>22500</v>
      </c>
      <c r="O194" s="318">
        <v>5</v>
      </c>
      <c r="P194" s="201">
        <f>SUM(P195)</f>
        <v>25000</v>
      </c>
      <c r="Q194" s="318">
        <v>5</v>
      </c>
      <c r="R194" s="201">
        <f>SUM(R195)</f>
        <v>27500</v>
      </c>
      <c r="S194" s="318">
        <v>5</v>
      </c>
      <c r="T194" s="201">
        <f>SUM(T195)</f>
        <v>30000</v>
      </c>
      <c r="U194" s="318">
        <v>5</v>
      </c>
      <c r="V194" s="201">
        <f>SUM(V195)</f>
        <v>30000</v>
      </c>
      <c r="W194" s="302">
        <v>31</v>
      </c>
      <c r="X194" s="325"/>
      <c r="Y194" s="303" t="s">
        <v>1387</v>
      </c>
    </row>
    <row r="195" spans="2:25" ht="51" x14ac:dyDescent="0.25">
      <c r="B195" s="1952"/>
      <c r="C195" s="1820"/>
      <c r="D195" s="1820"/>
      <c r="E195" s="1820"/>
      <c r="F195" s="204"/>
      <c r="G195" s="15" t="s">
        <v>2535</v>
      </c>
      <c r="H195" s="15" t="s">
        <v>1503</v>
      </c>
      <c r="I195" s="16" t="s">
        <v>79</v>
      </c>
      <c r="J195" s="309"/>
      <c r="K195" s="311">
        <v>6</v>
      </c>
      <c r="L195" s="202">
        <v>20000</v>
      </c>
      <c r="M195" s="311">
        <v>5</v>
      </c>
      <c r="N195" s="202">
        <v>22500</v>
      </c>
      <c r="O195" s="311">
        <v>5</v>
      </c>
      <c r="P195" s="202">
        <v>25000</v>
      </c>
      <c r="Q195" s="311">
        <v>5</v>
      </c>
      <c r="R195" s="306">
        <v>27500</v>
      </c>
      <c r="S195" s="311">
        <v>5</v>
      </c>
      <c r="T195" s="306">
        <v>30000</v>
      </c>
      <c r="U195" s="311">
        <v>5</v>
      </c>
      <c r="V195" s="306">
        <v>30000</v>
      </c>
      <c r="W195" s="307"/>
      <c r="X195" s="308"/>
      <c r="Y195" s="303" t="s">
        <v>1387</v>
      </c>
    </row>
    <row r="196" spans="2:25" ht="48" x14ac:dyDescent="0.25">
      <c r="B196" s="1952"/>
      <c r="C196" s="1820"/>
      <c r="D196" s="1820"/>
      <c r="E196" s="1820"/>
      <c r="F196" s="316"/>
      <c r="G196" s="17" t="s">
        <v>1511</v>
      </c>
      <c r="H196" s="17" t="s">
        <v>3141</v>
      </c>
      <c r="I196" s="1" t="s">
        <v>79</v>
      </c>
      <c r="J196" s="317">
        <v>0</v>
      </c>
      <c r="K196" s="318">
        <v>1</v>
      </c>
      <c r="L196" s="201">
        <f>SUM(L197)</f>
        <v>20000</v>
      </c>
      <c r="M196" s="318">
        <v>1</v>
      </c>
      <c r="N196" s="201">
        <f>SUM(N197)</f>
        <v>22500</v>
      </c>
      <c r="O196" s="318">
        <v>1</v>
      </c>
      <c r="P196" s="201">
        <f>SUM(P197)</f>
        <v>25000</v>
      </c>
      <c r="Q196" s="318">
        <v>1</v>
      </c>
      <c r="R196" s="201">
        <f>SUM(R197)</f>
        <v>27500</v>
      </c>
      <c r="S196" s="318">
        <v>1</v>
      </c>
      <c r="T196" s="201">
        <f>SUM(T197)</f>
        <v>30000</v>
      </c>
      <c r="U196" s="318">
        <v>1</v>
      </c>
      <c r="V196" s="201">
        <f>SUM(V197)</f>
        <v>30000</v>
      </c>
      <c r="W196" s="302">
        <v>6</v>
      </c>
      <c r="X196" s="325"/>
      <c r="Y196" s="303" t="s">
        <v>1387</v>
      </c>
    </row>
    <row r="197" spans="2:25" ht="51" x14ac:dyDescent="0.25">
      <c r="B197" s="1953"/>
      <c r="C197" s="1821"/>
      <c r="D197" s="1821"/>
      <c r="E197" s="1821"/>
      <c r="F197" s="204"/>
      <c r="G197" s="21" t="s">
        <v>169</v>
      </c>
      <c r="H197" s="15" t="s">
        <v>1512</v>
      </c>
      <c r="I197" s="16" t="s">
        <v>79</v>
      </c>
      <c r="J197" s="309"/>
      <c r="K197" s="311">
        <v>1</v>
      </c>
      <c r="L197" s="202">
        <v>20000</v>
      </c>
      <c r="M197" s="311">
        <v>1</v>
      </c>
      <c r="N197" s="202">
        <v>22500</v>
      </c>
      <c r="O197" s="311">
        <v>1</v>
      </c>
      <c r="P197" s="202">
        <v>25000</v>
      </c>
      <c r="Q197" s="311">
        <v>1</v>
      </c>
      <c r="R197" s="306">
        <v>27500</v>
      </c>
      <c r="S197" s="311">
        <v>1</v>
      </c>
      <c r="T197" s="306">
        <v>30000</v>
      </c>
      <c r="U197" s="311">
        <v>1</v>
      </c>
      <c r="V197" s="306">
        <v>30000</v>
      </c>
      <c r="W197" s="307"/>
      <c r="X197" s="308"/>
      <c r="Y197" s="303" t="s">
        <v>1387</v>
      </c>
    </row>
    <row r="198" spans="2:25" ht="13.5" thickBot="1" x14ac:dyDescent="0.3">
      <c r="B198" s="326"/>
      <c r="C198" s="327"/>
      <c r="D198" s="327"/>
      <c r="E198" s="328"/>
      <c r="F198" s="328"/>
      <c r="G198" s="327"/>
      <c r="H198" s="327"/>
      <c r="I198" s="329"/>
      <c r="J198" s="330"/>
      <c r="K198" s="331"/>
      <c r="L198" s="203">
        <f>SUM(L155:L197)/2</f>
        <v>4919745</v>
      </c>
      <c r="M198" s="331"/>
      <c r="N198" s="203">
        <f>SUM(N155:N197)/2</f>
        <v>5336000</v>
      </c>
      <c r="O198" s="331"/>
      <c r="P198" s="203">
        <f>SUM(P155:P197)/2</f>
        <v>5703500</v>
      </c>
      <c r="Q198" s="331"/>
      <c r="R198" s="203">
        <f>SUM(R155:R197)/2</f>
        <v>6075000</v>
      </c>
      <c r="S198" s="332"/>
      <c r="T198" s="203">
        <f>SUM(T155:T197)/2</f>
        <v>6475500</v>
      </c>
      <c r="U198" s="332"/>
      <c r="V198" s="203">
        <f>SUM(V155:V197)/2</f>
        <v>6475500</v>
      </c>
      <c r="W198" s="333"/>
      <c r="X198" s="334"/>
      <c r="Y198" s="334"/>
    </row>
    <row r="199" spans="2:25" ht="13.5" thickTop="1" x14ac:dyDescent="0.25"/>
    <row r="200" spans="2:25" ht="13.5" thickBot="1" x14ac:dyDescent="0.3">
      <c r="B200" s="246" t="s">
        <v>1389</v>
      </c>
    </row>
    <row r="201" spans="2:25" s="219" customFormat="1" thickTop="1" x14ac:dyDescent="0.2">
      <c r="B201" s="1932" t="s">
        <v>1</v>
      </c>
      <c r="C201" s="1934" t="s">
        <v>2</v>
      </c>
      <c r="D201" s="1934" t="s">
        <v>3</v>
      </c>
      <c r="E201" s="1934" t="s">
        <v>4</v>
      </c>
      <c r="F201" s="1934" t="s">
        <v>5</v>
      </c>
      <c r="G201" s="1934" t="s">
        <v>6</v>
      </c>
      <c r="H201" s="1934" t="s">
        <v>1854</v>
      </c>
      <c r="I201" s="1934" t="s">
        <v>31</v>
      </c>
      <c r="J201" s="1936" t="s">
        <v>1855</v>
      </c>
      <c r="K201" s="1934" t="s">
        <v>7</v>
      </c>
      <c r="L201" s="1934"/>
      <c r="M201" s="1934"/>
      <c r="N201" s="1934"/>
      <c r="O201" s="1934"/>
      <c r="P201" s="1934"/>
      <c r="Q201" s="1934"/>
      <c r="R201" s="1934"/>
      <c r="S201" s="1934"/>
      <c r="T201" s="1934"/>
      <c r="U201" s="1934"/>
      <c r="V201" s="1934"/>
      <c r="W201" s="1934"/>
      <c r="X201" s="1934" t="s">
        <v>8</v>
      </c>
      <c r="Y201" s="1938" t="s">
        <v>1856</v>
      </c>
    </row>
    <row r="202" spans="2:25" s="219" customFormat="1" ht="12" x14ac:dyDescent="0.2">
      <c r="B202" s="1933"/>
      <c r="C202" s="1935"/>
      <c r="D202" s="1935"/>
      <c r="E202" s="1935"/>
      <c r="F202" s="1935"/>
      <c r="G202" s="1935"/>
      <c r="H202" s="1935"/>
      <c r="I202" s="1935"/>
      <c r="J202" s="1937"/>
      <c r="K202" s="1935">
        <v>2016</v>
      </c>
      <c r="L202" s="1935"/>
      <c r="M202" s="1935">
        <v>2017</v>
      </c>
      <c r="N202" s="1935"/>
      <c r="O202" s="1935">
        <v>2018</v>
      </c>
      <c r="P202" s="1935"/>
      <c r="Q202" s="1935">
        <v>2019</v>
      </c>
      <c r="R202" s="1935"/>
      <c r="S202" s="1935">
        <v>2020</v>
      </c>
      <c r="T202" s="1935"/>
      <c r="U202" s="1935">
        <v>2021</v>
      </c>
      <c r="V202" s="1935"/>
      <c r="W202" s="1940" t="s">
        <v>1857</v>
      </c>
      <c r="X202" s="1935"/>
      <c r="Y202" s="1939"/>
    </row>
    <row r="203" spans="2:25" s="219" customFormat="1" ht="12" x14ac:dyDescent="0.2">
      <c r="B203" s="1933"/>
      <c r="C203" s="1935"/>
      <c r="D203" s="1935"/>
      <c r="E203" s="1935"/>
      <c r="F203" s="1935"/>
      <c r="G203" s="1935"/>
      <c r="H203" s="1935"/>
      <c r="I203" s="1935"/>
      <c r="J203" s="1937"/>
      <c r="K203" s="707" t="s">
        <v>1858</v>
      </c>
      <c r="L203" s="1889" t="s">
        <v>1355</v>
      </c>
      <c r="M203" s="844" t="s">
        <v>1858</v>
      </c>
      <c r="N203" s="1889" t="s">
        <v>1355</v>
      </c>
      <c r="O203" s="844" t="s">
        <v>1858</v>
      </c>
      <c r="P203" s="1889" t="s">
        <v>1355</v>
      </c>
      <c r="Q203" s="844" t="s">
        <v>1858</v>
      </c>
      <c r="R203" s="1889" t="s">
        <v>1355</v>
      </c>
      <c r="S203" s="844" t="s">
        <v>1858</v>
      </c>
      <c r="T203" s="1889" t="s">
        <v>1355</v>
      </c>
      <c r="U203" s="844" t="s">
        <v>1858</v>
      </c>
      <c r="V203" s="1889" t="s">
        <v>1355</v>
      </c>
      <c r="W203" s="1940"/>
      <c r="X203" s="1935"/>
      <c r="Y203" s="1939"/>
    </row>
    <row r="204" spans="2:25" ht="48" customHeight="1" x14ac:dyDescent="0.25">
      <c r="B204" s="2005" t="s">
        <v>1357</v>
      </c>
      <c r="C204" s="1974" t="s">
        <v>4048</v>
      </c>
      <c r="D204" s="1974" t="s">
        <v>4035</v>
      </c>
      <c r="E204" s="574" t="s">
        <v>4049</v>
      </c>
      <c r="F204" s="685" t="s">
        <v>4053</v>
      </c>
      <c r="G204" s="976" t="s">
        <v>4050</v>
      </c>
      <c r="H204" s="38"/>
      <c r="I204" s="1830" t="s">
        <v>1388</v>
      </c>
      <c r="J204" s="1825">
        <v>6.5328441295546558</v>
      </c>
      <c r="K204" s="541">
        <v>6.5391910741396764</v>
      </c>
      <c r="L204" s="651"/>
      <c r="M204" s="541">
        <v>6.5455442727195097</v>
      </c>
      <c r="N204" s="651"/>
      <c r="O204" s="541">
        <v>6.5519037315016746</v>
      </c>
      <c r="P204" s="651"/>
      <c r="Q204" s="541">
        <v>6.558269456699878</v>
      </c>
      <c r="R204" s="651"/>
      <c r="S204" s="541">
        <v>6.5646414545340122</v>
      </c>
      <c r="T204" s="651"/>
      <c r="U204" s="541">
        <v>6.5710197312301686</v>
      </c>
      <c r="V204" s="651"/>
      <c r="W204" s="541">
        <v>6.5646414545340122</v>
      </c>
      <c r="X204" s="542"/>
      <c r="Y204" s="335" t="s">
        <v>1389</v>
      </c>
    </row>
    <row r="205" spans="2:25" ht="48" customHeight="1" x14ac:dyDescent="0.25">
      <c r="B205" s="2006"/>
      <c r="C205" s="1975"/>
      <c r="D205" s="1975"/>
      <c r="E205" s="578"/>
      <c r="F205" s="685" t="s">
        <v>4054</v>
      </c>
      <c r="G205" s="976" t="s">
        <v>4051</v>
      </c>
      <c r="H205" s="38"/>
      <c r="I205" s="1830" t="s">
        <v>1388</v>
      </c>
      <c r="J205" s="1826">
        <v>7.2329303592712408</v>
      </c>
      <c r="K205" s="541">
        <v>7.4777867717614805</v>
      </c>
      <c r="L205" s="652"/>
      <c r="M205" s="541">
        <v>7.4785345504386571</v>
      </c>
      <c r="N205" s="652"/>
      <c r="O205" s="541">
        <v>7.4792824038937011</v>
      </c>
      <c r="P205" s="652"/>
      <c r="Q205" s="541">
        <v>7.4800303321340902</v>
      </c>
      <c r="R205" s="652"/>
      <c r="S205" s="541">
        <v>7.4807783351673036</v>
      </c>
      <c r="T205" s="652"/>
      <c r="U205" s="541">
        <v>7.4815264130008208</v>
      </c>
      <c r="V205" s="652"/>
      <c r="W205" s="541">
        <v>7.4807783351673036</v>
      </c>
      <c r="X205" s="543"/>
      <c r="Y205" s="335" t="s">
        <v>1389</v>
      </c>
    </row>
    <row r="206" spans="2:25" ht="48" customHeight="1" x14ac:dyDescent="0.25">
      <c r="B206" s="2006"/>
      <c r="C206" s="1975"/>
      <c r="D206" s="1975"/>
      <c r="E206" s="578"/>
      <c r="F206" s="685" t="s">
        <v>4055</v>
      </c>
      <c r="G206" s="976" t="s">
        <v>4052</v>
      </c>
      <c r="H206" s="38"/>
      <c r="I206" s="1830" t="s">
        <v>1388</v>
      </c>
      <c r="J206" s="1826">
        <v>1.175487900078064</v>
      </c>
      <c r="K206" s="541">
        <v>1.2283288946268289</v>
      </c>
      <c r="L206" s="652"/>
      <c r="M206" s="541">
        <v>1.2284517275162916</v>
      </c>
      <c r="N206" s="652"/>
      <c r="O206" s="541">
        <v>1.2285745726890434</v>
      </c>
      <c r="P206" s="652"/>
      <c r="Q206" s="541">
        <v>1.2286974301463123</v>
      </c>
      <c r="R206" s="652"/>
      <c r="S206" s="541">
        <v>1.228820299889327</v>
      </c>
      <c r="T206" s="652"/>
      <c r="U206" s="541">
        <v>1.228943181919316</v>
      </c>
      <c r="V206" s="652"/>
      <c r="W206" s="541">
        <v>1.228820299889327</v>
      </c>
      <c r="X206" s="543"/>
      <c r="Y206" s="335" t="s">
        <v>1389</v>
      </c>
    </row>
    <row r="207" spans="2:25" ht="48" customHeight="1" x14ac:dyDescent="0.25">
      <c r="B207" s="2006"/>
      <c r="C207" s="316"/>
      <c r="D207" s="316"/>
      <c r="E207" s="1857"/>
      <c r="F207" s="685" t="s">
        <v>4056</v>
      </c>
      <c r="G207" s="976" t="s">
        <v>4046</v>
      </c>
      <c r="H207" s="1831"/>
      <c r="I207" s="38" t="s">
        <v>4047</v>
      </c>
      <c r="J207" s="1827">
        <v>102</v>
      </c>
      <c r="K207" s="1817">
        <v>102.2</v>
      </c>
      <c r="M207" s="1817">
        <v>102.4</v>
      </c>
      <c r="O207" s="1817">
        <v>102.6</v>
      </c>
      <c r="P207" s="652"/>
      <c r="Q207" s="1817">
        <v>102.8</v>
      </c>
      <c r="R207" s="652"/>
      <c r="S207" s="1817">
        <v>103</v>
      </c>
      <c r="T207" s="652"/>
      <c r="U207" s="1817">
        <v>103.2</v>
      </c>
      <c r="V207" s="652"/>
      <c r="W207" s="1817">
        <v>103.2</v>
      </c>
      <c r="X207" s="543"/>
      <c r="Y207" s="335"/>
    </row>
    <row r="208" spans="2:25" ht="60" x14ac:dyDescent="0.25">
      <c r="B208" s="2006"/>
      <c r="C208" s="549"/>
      <c r="D208" s="549"/>
      <c r="E208" s="1823"/>
      <c r="F208" s="539"/>
      <c r="G208" s="198" t="s">
        <v>1391</v>
      </c>
      <c r="H208" s="1828" t="s">
        <v>1390</v>
      </c>
      <c r="I208" s="1829" t="s">
        <v>19</v>
      </c>
      <c r="J208" s="546">
        <v>81.349999999999994</v>
      </c>
      <c r="K208" s="546">
        <v>90.34</v>
      </c>
      <c r="L208" s="651">
        <f>SUM(L209:L219)</f>
        <v>14735950</v>
      </c>
      <c r="M208" s="546">
        <v>98.39</v>
      </c>
      <c r="N208" s="651">
        <f>SUM(N209:N219)</f>
        <v>17671570</v>
      </c>
      <c r="O208" s="546">
        <v>100</v>
      </c>
      <c r="P208" s="651">
        <f>SUM(P209:P219)</f>
        <v>40496259</v>
      </c>
      <c r="Q208" s="546">
        <v>100</v>
      </c>
      <c r="R208" s="651">
        <f>SUM(R209:R219)</f>
        <v>38555884.899999999</v>
      </c>
      <c r="S208" s="546">
        <v>100</v>
      </c>
      <c r="T208" s="651">
        <f>SUM(T209:T219)</f>
        <v>39655975.530000001</v>
      </c>
      <c r="U208" s="546">
        <v>100</v>
      </c>
      <c r="V208" s="651">
        <f>SUM(V209:V219)</f>
        <v>43621573.083000004</v>
      </c>
      <c r="W208" s="547">
        <v>100</v>
      </c>
      <c r="X208" s="548"/>
      <c r="Y208" s="335" t="s">
        <v>1389</v>
      </c>
    </row>
    <row r="209" spans="2:25" ht="25.5" x14ac:dyDescent="0.25">
      <c r="B209" s="2006"/>
      <c r="C209" s="549"/>
      <c r="D209" s="549"/>
      <c r="E209" s="1823"/>
      <c r="F209" s="549"/>
      <c r="G209" s="550" t="s">
        <v>2536</v>
      </c>
      <c r="H209" s="551" t="s">
        <v>2537</v>
      </c>
      <c r="I209" s="552" t="s">
        <v>2538</v>
      </c>
      <c r="J209" s="553"/>
      <c r="K209" s="553">
        <v>20</v>
      </c>
      <c r="L209" s="554">
        <v>5897988</v>
      </c>
      <c r="M209" s="553">
        <v>18</v>
      </c>
      <c r="N209" s="554">
        <v>5000000</v>
      </c>
      <c r="O209" s="553">
        <v>18</v>
      </c>
      <c r="P209" s="555">
        <v>5500000</v>
      </c>
      <c r="Q209" s="553">
        <v>0</v>
      </c>
      <c r="R209" s="555">
        <v>60000</v>
      </c>
      <c r="S209" s="556">
        <v>0</v>
      </c>
      <c r="T209" s="555">
        <v>66000</v>
      </c>
      <c r="U209" s="556">
        <v>0</v>
      </c>
      <c r="V209" s="555">
        <v>72600</v>
      </c>
      <c r="W209" s="556">
        <v>56</v>
      </c>
      <c r="X209" s="557"/>
      <c r="Y209" s="335" t="s">
        <v>1389</v>
      </c>
    </row>
    <row r="210" spans="2:25" ht="25.5" x14ac:dyDescent="0.25">
      <c r="B210" s="2006"/>
      <c r="C210" s="549"/>
      <c r="D210" s="549"/>
      <c r="E210" s="1823"/>
      <c r="F210" s="539"/>
      <c r="G210" s="549"/>
      <c r="H210" s="551" t="s">
        <v>2539</v>
      </c>
      <c r="I210" s="552" t="s">
        <v>2538</v>
      </c>
      <c r="J210" s="553"/>
      <c r="K210" s="553">
        <v>10</v>
      </c>
      <c r="L210" s="558"/>
      <c r="M210" s="553">
        <v>7</v>
      </c>
      <c r="N210" s="558"/>
      <c r="O210" s="553">
        <v>7</v>
      </c>
      <c r="P210" s="559"/>
      <c r="Q210" s="553"/>
      <c r="R210" s="559"/>
      <c r="S210" s="556"/>
      <c r="T210" s="559"/>
      <c r="U210" s="556"/>
      <c r="V210" s="559"/>
      <c r="W210" s="556"/>
      <c r="X210" s="548"/>
      <c r="Y210" s="335" t="s">
        <v>1389</v>
      </c>
    </row>
    <row r="211" spans="2:25" ht="63.75" x14ac:dyDescent="0.25">
      <c r="B211" s="2006"/>
      <c r="C211" s="549"/>
      <c r="D211" s="549"/>
      <c r="E211" s="1823"/>
      <c r="F211" s="539"/>
      <c r="G211" s="560"/>
      <c r="H211" s="561" t="s">
        <v>2540</v>
      </c>
      <c r="I211" s="552" t="s">
        <v>79</v>
      </c>
      <c r="J211" s="562"/>
      <c r="K211" s="563">
        <v>1</v>
      </c>
      <c r="L211" s="564"/>
      <c r="M211" s="565">
        <v>1</v>
      </c>
      <c r="N211" s="564"/>
      <c r="O211" s="565">
        <v>1</v>
      </c>
      <c r="P211" s="566"/>
      <c r="Q211" s="553">
        <v>1</v>
      </c>
      <c r="R211" s="566"/>
      <c r="S211" s="556">
        <v>1</v>
      </c>
      <c r="T211" s="566"/>
      <c r="U211" s="556">
        <v>1</v>
      </c>
      <c r="V211" s="566"/>
      <c r="W211" s="556">
        <v>5</v>
      </c>
      <c r="X211" s="548"/>
      <c r="Y211" s="335" t="s">
        <v>1389</v>
      </c>
    </row>
    <row r="212" spans="2:25" ht="76.5" x14ac:dyDescent="0.25">
      <c r="B212" s="1823"/>
      <c r="C212" s="549"/>
      <c r="D212" s="549"/>
      <c r="E212" s="1823"/>
      <c r="F212" s="539"/>
      <c r="G212" s="551" t="s">
        <v>2541</v>
      </c>
      <c r="H212" s="551" t="s">
        <v>2542</v>
      </c>
      <c r="I212" s="552" t="s">
        <v>2543</v>
      </c>
      <c r="J212" s="553"/>
      <c r="K212" s="553">
        <v>0</v>
      </c>
      <c r="L212" s="567">
        <v>0</v>
      </c>
      <c r="M212" s="553">
        <v>14</v>
      </c>
      <c r="N212" s="553">
        <v>2899197</v>
      </c>
      <c r="O212" s="553"/>
      <c r="P212" s="556"/>
      <c r="Q212" s="553"/>
      <c r="R212" s="556"/>
      <c r="S212" s="556"/>
      <c r="T212" s="556"/>
      <c r="U212" s="556"/>
      <c r="V212" s="556"/>
      <c r="W212" s="556">
        <v>14</v>
      </c>
      <c r="X212" s="548"/>
      <c r="Y212" s="335" t="s">
        <v>1389</v>
      </c>
    </row>
    <row r="213" spans="2:25" ht="63.75" x14ac:dyDescent="0.25">
      <c r="B213" s="1823"/>
      <c r="C213" s="549"/>
      <c r="D213" s="549"/>
      <c r="E213" s="1823"/>
      <c r="F213" s="539"/>
      <c r="G213" s="551"/>
      <c r="H213" s="551" t="s">
        <v>2544</v>
      </c>
      <c r="I213" s="552" t="s">
        <v>2543</v>
      </c>
      <c r="J213" s="553"/>
      <c r="K213" s="553"/>
      <c r="L213" s="567"/>
      <c r="M213" s="553">
        <v>2</v>
      </c>
      <c r="N213" s="553"/>
      <c r="O213" s="553"/>
      <c r="P213" s="556"/>
      <c r="Q213" s="553"/>
      <c r="R213" s="556"/>
      <c r="S213" s="556"/>
      <c r="T213" s="556"/>
      <c r="U213" s="556"/>
      <c r="V213" s="556"/>
      <c r="W213" s="556">
        <v>2</v>
      </c>
      <c r="X213" s="548"/>
      <c r="Y213" s="335" t="s">
        <v>1389</v>
      </c>
    </row>
    <row r="214" spans="2:25" ht="63.75" x14ac:dyDescent="0.25">
      <c r="B214" s="1823"/>
      <c r="C214" s="549"/>
      <c r="D214" s="549"/>
      <c r="E214" s="1823"/>
      <c r="F214" s="539"/>
      <c r="G214" s="551"/>
      <c r="H214" s="551" t="s">
        <v>2545</v>
      </c>
      <c r="I214" s="552" t="s">
        <v>2543</v>
      </c>
      <c r="J214" s="553"/>
      <c r="K214" s="553"/>
      <c r="L214" s="567"/>
      <c r="M214" s="553">
        <v>1</v>
      </c>
      <c r="N214" s="553"/>
      <c r="O214" s="553"/>
      <c r="P214" s="556"/>
      <c r="Q214" s="553"/>
      <c r="R214" s="556"/>
      <c r="S214" s="556"/>
      <c r="T214" s="556"/>
      <c r="U214" s="556"/>
      <c r="V214" s="556"/>
      <c r="W214" s="556">
        <v>1</v>
      </c>
      <c r="X214" s="548"/>
      <c r="Y214" s="335" t="s">
        <v>1389</v>
      </c>
    </row>
    <row r="215" spans="2:25" ht="76.5" x14ac:dyDescent="0.25">
      <c r="B215" s="1823"/>
      <c r="C215" s="549"/>
      <c r="D215" s="549"/>
      <c r="E215" s="1823"/>
      <c r="F215" s="539"/>
      <c r="G215" s="551"/>
      <c r="H215" s="551" t="s">
        <v>2546</v>
      </c>
      <c r="I215" s="552" t="s">
        <v>2543</v>
      </c>
      <c r="J215" s="553"/>
      <c r="K215" s="553"/>
      <c r="L215" s="567"/>
      <c r="M215" s="553">
        <v>2</v>
      </c>
      <c r="N215" s="553"/>
      <c r="O215" s="553"/>
      <c r="P215" s="556"/>
      <c r="Q215" s="553"/>
      <c r="R215" s="556"/>
      <c r="S215" s="556"/>
      <c r="T215" s="556"/>
      <c r="U215" s="556"/>
      <c r="V215" s="556"/>
      <c r="W215" s="556">
        <v>2</v>
      </c>
      <c r="X215" s="548"/>
      <c r="Y215" s="335" t="s">
        <v>1389</v>
      </c>
    </row>
    <row r="216" spans="2:25" ht="51" x14ac:dyDescent="0.25">
      <c r="B216" s="1823"/>
      <c r="C216" s="549"/>
      <c r="D216" s="549"/>
      <c r="E216" s="1823"/>
      <c r="F216" s="539"/>
      <c r="G216" s="551"/>
      <c r="H216" s="551" t="s">
        <v>2547</v>
      </c>
      <c r="I216" s="552" t="s">
        <v>2543</v>
      </c>
      <c r="J216" s="553"/>
      <c r="K216" s="553"/>
      <c r="L216" s="567"/>
      <c r="M216" s="553">
        <v>1</v>
      </c>
      <c r="N216" s="553"/>
      <c r="O216" s="553"/>
      <c r="P216" s="556"/>
      <c r="Q216" s="553"/>
      <c r="R216" s="556"/>
      <c r="S216" s="556"/>
      <c r="T216" s="556"/>
      <c r="U216" s="556"/>
      <c r="V216" s="556"/>
      <c r="W216" s="556">
        <v>1</v>
      </c>
      <c r="X216" s="548"/>
      <c r="Y216" s="335" t="s">
        <v>1389</v>
      </c>
    </row>
    <row r="217" spans="2:25" ht="178.5" x14ac:dyDescent="0.25">
      <c r="B217" s="1823"/>
      <c r="C217" s="549"/>
      <c r="D217" s="549"/>
      <c r="E217" s="1823"/>
      <c r="F217" s="539"/>
      <c r="G217" s="550" t="s">
        <v>2548</v>
      </c>
      <c r="H217" s="568" t="s">
        <v>2549</v>
      </c>
      <c r="I217" s="552" t="s">
        <v>75</v>
      </c>
      <c r="J217" s="569">
        <v>145</v>
      </c>
      <c r="K217" s="553">
        <v>40</v>
      </c>
      <c r="L217" s="554">
        <v>8837962</v>
      </c>
      <c r="M217" s="553">
        <v>34</v>
      </c>
      <c r="N217" s="570">
        <v>9772373</v>
      </c>
      <c r="O217" s="553">
        <v>80</v>
      </c>
      <c r="P217" s="570">
        <v>18347629</v>
      </c>
      <c r="Q217" s="553">
        <v>80</v>
      </c>
      <c r="R217" s="570">
        <v>20182391.899999999</v>
      </c>
      <c r="S217" s="553">
        <v>82</v>
      </c>
      <c r="T217" s="570">
        <v>20182391</v>
      </c>
      <c r="U217" s="553">
        <v>82</v>
      </c>
      <c r="V217" s="570">
        <v>22200630.100000001</v>
      </c>
      <c r="W217" s="1074">
        <f>SUM(U217+S217+Q217+O217+M217+K217)</f>
        <v>398</v>
      </c>
      <c r="X217" s="548"/>
      <c r="Y217" s="335" t="s">
        <v>1389</v>
      </c>
    </row>
    <row r="218" spans="2:25" ht="38.25" x14ac:dyDescent="0.25">
      <c r="B218" s="1823"/>
      <c r="C218" s="549"/>
      <c r="D218" s="549"/>
      <c r="E218" s="1823"/>
      <c r="F218" s="539"/>
      <c r="G218" s="549"/>
      <c r="H218" s="551" t="s">
        <v>2550</v>
      </c>
      <c r="I218" s="552" t="s">
        <v>1539</v>
      </c>
      <c r="J218" s="571">
        <v>12</v>
      </c>
      <c r="K218" s="553">
        <v>1</v>
      </c>
      <c r="L218" s="558"/>
      <c r="M218" s="553">
        <v>6</v>
      </c>
      <c r="N218" s="570">
        <v>0</v>
      </c>
      <c r="O218" s="553">
        <v>15</v>
      </c>
      <c r="P218" s="570">
        <v>6702337</v>
      </c>
      <c r="Q218" s="553">
        <v>15</v>
      </c>
      <c r="R218" s="570">
        <v>7372570.7000000002</v>
      </c>
      <c r="S218" s="553">
        <v>15</v>
      </c>
      <c r="T218" s="570">
        <v>7372570</v>
      </c>
      <c r="U218" s="553">
        <v>15</v>
      </c>
      <c r="V218" s="570">
        <v>8109827</v>
      </c>
      <c r="W218" s="1074">
        <f>SUM(U218+S218+Q218+O218+M218+K218)</f>
        <v>67</v>
      </c>
      <c r="X218" s="572"/>
      <c r="Y218" s="335" t="s">
        <v>1389</v>
      </c>
    </row>
    <row r="219" spans="2:25" ht="63.75" x14ac:dyDescent="0.25">
      <c r="B219" s="1823"/>
      <c r="C219" s="549"/>
      <c r="D219" s="549"/>
      <c r="E219" s="1823"/>
      <c r="F219" s="539"/>
      <c r="G219" s="560"/>
      <c r="H219" s="551" t="s">
        <v>2551</v>
      </c>
      <c r="I219" s="552" t="s">
        <v>1416</v>
      </c>
      <c r="J219" s="569">
        <v>3500</v>
      </c>
      <c r="K219" s="553"/>
      <c r="L219" s="564"/>
      <c r="M219" s="553"/>
      <c r="N219" s="570">
        <v>0</v>
      </c>
      <c r="O219" s="553">
        <v>3500</v>
      </c>
      <c r="P219" s="570">
        <v>9946293</v>
      </c>
      <c r="Q219" s="553">
        <v>3500</v>
      </c>
      <c r="R219" s="570">
        <v>10940922.300000001</v>
      </c>
      <c r="S219" s="553">
        <v>3500</v>
      </c>
      <c r="T219" s="570">
        <v>12035014.530000001</v>
      </c>
      <c r="U219" s="553">
        <v>3500</v>
      </c>
      <c r="V219" s="570">
        <v>13238515.983000001</v>
      </c>
      <c r="W219" s="1074">
        <f>SUM(U219+S219+Q219+O219+M219+K219)</f>
        <v>14000</v>
      </c>
      <c r="X219" s="573"/>
      <c r="Y219" s="335" t="s">
        <v>1389</v>
      </c>
    </row>
    <row r="220" spans="2:25" ht="48" x14ac:dyDescent="0.25">
      <c r="B220" s="1823"/>
      <c r="C220" s="549"/>
      <c r="D220" s="549"/>
      <c r="E220" s="1823"/>
      <c r="F220" s="539"/>
      <c r="G220" s="574" t="s">
        <v>1392</v>
      </c>
      <c r="H220" s="581" t="s">
        <v>1393</v>
      </c>
      <c r="I220" s="545" t="s">
        <v>19</v>
      </c>
      <c r="J220" s="579">
        <v>6</v>
      </c>
      <c r="K220" s="575">
        <v>8</v>
      </c>
      <c r="L220" s="580">
        <f>SUM(L221:L224)</f>
        <v>865000</v>
      </c>
      <c r="M220" s="575">
        <v>9</v>
      </c>
      <c r="N220" s="580">
        <f>SUM(N221:N224)</f>
        <v>700000</v>
      </c>
      <c r="O220" s="575">
        <v>10</v>
      </c>
      <c r="P220" s="580">
        <f>SUM(P221:P224)</f>
        <v>770000</v>
      </c>
      <c r="Q220" s="575">
        <v>11</v>
      </c>
      <c r="R220" s="580">
        <f>SUM(R221:R224)</f>
        <v>847000</v>
      </c>
      <c r="S220" s="575">
        <v>12</v>
      </c>
      <c r="T220" s="580">
        <f>SUM(T221:T224)</f>
        <v>931700</v>
      </c>
      <c r="U220" s="575">
        <v>13</v>
      </c>
      <c r="V220" s="580">
        <f>SUM(V221:V224)</f>
        <v>1024870</v>
      </c>
      <c r="W220" s="1075">
        <f>U220</f>
        <v>13</v>
      </c>
      <c r="X220" s="577"/>
      <c r="Y220" s="335" t="s">
        <v>1389</v>
      </c>
    </row>
    <row r="221" spans="2:25" ht="63.75" x14ac:dyDescent="0.25">
      <c r="B221" s="1823"/>
      <c r="C221" s="549"/>
      <c r="D221" s="549"/>
      <c r="E221" s="1823"/>
      <c r="F221" s="539"/>
      <c r="G221" s="551" t="s">
        <v>2552</v>
      </c>
      <c r="H221" s="551" t="s">
        <v>2553</v>
      </c>
      <c r="I221" s="552" t="s">
        <v>100</v>
      </c>
      <c r="J221" s="553">
        <v>770</v>
      </c>
      <c r="K221" s="583">
        <v>455</v>
      </c>
      <c r="L221" s="584">
        <v>325000</v>
      </c>
      <c r="M221" s="583">
        <v>455</v>
      </c>
      <c r="N221" s="585">
        <v>200000</v>
      </c>
      <c r="O221" s="583">
        <v>455</v>
      </c>
      <c r="P221" s="585">
        <v>220000</v>
      </c>
      <c r="Q221" s="583">
        <v>455</v>
      </c>
      <c r="R221" s="585">
        <v>242000</v>
      </c>
      <c r="S221" s="583">
        <v>455</v>
      </c>
      <c r="T221" s="585">
        <v>266200</v>
      </c>
      <c r="U221" s="583">
        <v>455</v>
      </c>
      <c r="V221" s="585">
        <v>292820</v>
      </c>
      <c r="W221" s="1074">
        <f>SUM(U221+S221+Q221+O221+M221+K221)</f>
        <v>2730</v>
      </c>
      <c r="X221" s="557"/>
      <c r="Y221" s="335" t="s">
        <v>1389</v>
      </c>
    </row>
    <row r="222" spans="2:25" ht="89.25" x14ac:dyDescent="0.25">
      <c r="B222" s="1823"/>
      <c r="C222" s="549"/>
      <c r="D222" s="549"/>
      <c r="E222" s="1823"/>
      <c r="F222" s="539"/>
      <c r="G222" s="551" t="s">
        <v>2554</v>
      </c>
      <c r="H222" s="551" t="s">
        <v>2555</v>
      </c>
      <c r="I222" s="552" t="s">
        <v>100</v>
      </c>
      <c r="J222" s="569">
        <v>760</v>
      </c>
      <c r="K222" s="583">
        <v>100</v>
      </c>
      <c r="L222" s="584">
        <v>250000</v>
      </c>
      <c r="M222" s="583">
        <v>100</v>
      </c>
      <c r="N222" s="585">
        <v>200000</v>
      </c>
      <c r="O222" s="585">
        <v>100</v>
      </c>
      <c r="P222" s="585">
        <v>220000</v>
      </c>
      <c r="Q222" s="585">
        <v>100</v>
      </c>
      <c r="R222" s="585">
        <v>242000</v>
      </c>
      <c r="S222" s="585">
        <v>100</v>
      </c>
      <c r="T222" s="585">
        <v>266200</v>
      </c>
      <c r="U222" s="585">
        <v>100</v>
      </c>
      <c r="V222" s="585">
        <v>292820</v>
      </c>
      <c r="W222" s="1074">
        <f>SUM(U222+S222+Q222+O222+M222+K222)</f>
        <v>600</v>
      </c>
      <c r="X222" s="557"/>
      <c r="Y222" s="335" t="s">
        <v>1389</v>
      </c>
    </row>
    <row r="223" spans="2:25" ht="63.75" x14ac:dyDescent="0.25">
      <c r="B223" s="1823"/>
      <c r="C223" s="549"/>
      <c r="D223" s="549"/>
      <c r="E223" s="1823"/>
      <c r="F223" s="539"/>
      <c r="G223" s="551" t="s">
        <v>2556</v>
      </c>
      <c r="H223" s="551" t="s">
        <v>2557</v>
      </c>
      <c r="I223" s="552" t="s">
        <v>2558</v>
      </c>
      <c r="J223" s="569"/>
      <c r="K223" s="586">
        <v>1845</v>
      </c>
      <c r="L223" s="587">
        <v>290000</v>
      </c>
      <c r="M223" s="586">
        <v>1808</v>
      </c>
      <c r="N223" s="588">
        <v>300000</v>
      </c>
      <c r="O223" s="589">
        <v>1808</v>
      </c>
      <c r="P223" s="588">
        <v>330000</v>
      </c>
      <c r="Q223" s="589">
        <v>1808</v>
      </c>
      <c r="R223" s="588">
        <v>363000</v>
      </c>
      <c r="S223" s="589">
        <v>1808</v>
      </c>
      <c r="T223" s="588">
        <v>399300</v>
      </c>
      <c r="U223" s="589">
        <v>1808</v>
      </c>
      <c r="V223" s="588">
        <v>439230</v>
      </c>
      <c r="W223" s="556">
        <v>1808</v>
      </c>
      <c r="X223" s="557"/>
      <c r="Y223" s="335" t="s">
        <v>1389</v>
      </c>
    </row>
    <row r="224" spans="2:25" ht="38.25" x14ac:dyDescent="0.25">
      <c r="B224" s="1823"/>
      <c r="C224" s="549"/>
      <c r="D224" s="549"/>
      <c r="E224" s="1823"/>
      <c r="F224" s="539"/>
      <c r="G224" s="551"/>
      <c r="H224" s="551" t="s">
        <v>2559</v>
      </c>
      <c r="I224" s="552" t="s">
        <v>1297</v>
      </c>
      <c r="J224" s="569"/>
      <c r="K224" s="583">
        <v>0</v>
      </c>
      <c r="L224" s="590"/>
      <c r="M224" s="583">
        <v>26</v>
      </c>
      <c r="N224" s="591"/>
      <c r="O224" s="583">
        <v>26</v>
      </c>
      <c r="P224" s="591"/>
      <c r="Q224" s="583">
        <v>26</v>
      </c>
      <c r="R224" s="591"/>
      <c r="S224" s="583">
        <v>26</v>
      </c>
      <c r="T224" s="591"/>
      <c r="U224" s="583">
        <v>26</v>
      </c>
      <c r="V224" s="591"/>
      <c r="W224" s="556">
        <v>26</v>
      </c>
      <c r="X224" s="557"/>
      <c r="Y224" s="335" t="s">
        <v>1389</v>
      </c>
    </row>
    <row r="225" spans="2:25" ht="96" x14ac:dyDescent="0.25">
      <c r="B225" s="1823"/>
      <c r="C225" s="549"/>
      <c r="D225" s="549"/>
      <c r="E225" s="1823"/>
      <c r="F225" s="539"/>
      <c r="G225" s="592" t="s">
        <v>1394</v>
      </c>
      <c r="H225" s="544" t="s">
        <v>1395</v>
      </c>
      <c r="I225" s="545" t="s">
        <v>19</v>
      </c>
      <c r="J225" s="593">
        <v>54.75</v>
      </c>
      <c r="K225" s="594">
        <v>69.53</v>
      </c>
      <c r="L225" s="595">
        <f>SUM(L226:L233)</f>
        <v>4014420</v>
      </c>
      <c r="M225" s="596">
        <v>78.47</v>
      </c>
      <c r="N225" s="595">
        <f>SUM(N226:N233)</f>
        <v>3225500</v>
      </c>
      <c r="O225" s="594">
        <v>86.67</v>
      </c>
      <c r="P225" s="595">
        <f>SUM(P226:P233)</f>
        <v>5728630</v>
      </c>
      <c r="Q225" s="594">
        <v>92.01</v>
      </c>
      <c r="R225" s="595">
        <f>SUM(R226:R233)</f>
        <v>6387084</v>
      </c>
      <c r="S225" s="594">
        <v>95.37</v>
      </c>
      <c r="T225" s="595">
        <f>SUM(T226:T233)</f>
        <v>6864621</v>
      </c>
      <c r="U225" s="1076">
        <v>98.57</v>
      </c>
      <c r="V225" s="984">
        <f>SUM(V226:V233)</f>
        <v>7551083.0999999996</v>
      </c>
      <c r="W225" s="1077">
        <f>U225</f>
        <v>98.57</v>
      </c>
      <c r="X225" s="577"/>
      <c r="Y225" s="335" t="s">
        <v>1389</v>
      </c>
    </row>
    <row r="226" spans="2:25" ht="51" x14ac:dyDescent="0.25">
      <c r="B226" s="1823"/>
      <c r="C226" s="549"/>
      <c r="D226" s="549"/>
      <c r="E226" s="1823"/>
      <c r="F226" s="539"/>
      <c r="G226" s="550" t="s">
        <v>2560</v>
      </c>
      <c r="H226" s="551" t="s">
        <v>2561</v>
      </c>
      <c r="I226" s="552" t="s">
        <v>75</v>
      </c>
      <c r="J226" s="569">
        <v>3128</v>
      </c>
      <c r="K226" s="583">
        <v>41</v>
      </c>
      <c r="L226" s="600">
        <v>1904509</v>
      </c>
      <c r="M226" s="583">
        <v>48</v>
      </c>
      <c r="N226" s="600">
        <v>2000000</v>
      </c>
      <c r="O226" s="583">
        <v>150</v>
      </c>
      <c r="P226" s="601">
        <v>3606910</v>
      </c>
      <c r="Q226" s="583">
        <v>160</v>
      </c>
      <c r="R226" s="601">
        <v>4328292</v>
      </c>
      <c r="S226" s="583">
        <v>160</v>
      </c>
      <c r="T226" s="601">
        <v>5193950</v>
      </c>
      <c r="U226" s="1078">
        <v>160</v>
      </c>
      <c r="V226" s="1079">
        <v>5713345</v>
      </c>
      <c r="W226" s="1074">
        <f>SUM(U226+S226+Q226+O226+M226+K226)</f>
        <v>719</v>
      </c>
      <c r="X226" s="557"/>
      <c r="Y226" s="335" t="s">
        <v>1389</v>
      </c>
    </row>
    <row r="227" spans="2:25" ht="51" x14ac:dyDescent="0.25">
      <c r="B227" s="1823"/>
      <c r="C227" s="549"/>
      <c r="D227" s="549"/>
      <c r="E227" s="1823"/>
      <c r="F227" s="539"/>
      <c r="G227" s="560"/>
      <c r="H227" s="551" t="s">
        <v>2562</v>
      </c>
      <c r="I227" s="552" t="s">
        <v>75</v>
      </c>
      <c r="J227" s="569">
        <v>604</v>
      </c>
      <c r="K227" s="583">
        <v>146</v>
      </c>
      <c r="L227" s="602"/>
      <c r="M227" s="583">
        <v>100</v>
      </c>
      <c r="N227" s="602"/>
      <c r="O227" s="583">
        <v>150</v>
      </c>
      <c r="P227" s="601">
        <v>1188220</v>
      </c>
      <c r="Q227" s="583">
        <v>150</v>
      </c>
      <c r="R227" s="601">
        <v>1307042</v>
      </c>
      <c r="S227" s="583">
        <v>150</v>
      </c>
      <c r="T227" s="601">
        <v>1437746</v>
      </c>
      <c r="U227" s="1078">
        <v>150</v>
      </c>
      <c r="V227" s="1079">
        <v>1581520.6</v>
      </c>
      <c r="W227" s="1074">
        <f>SUM(U227+S227+Q227+O227+M227+K227)</f>
        <v>846</v>
      </c>
      <c r="X227" s="557"/>
      <c r="Y227" s="335" t="s">
        <v>1389</v>
      </c>
    </row>
    <row r="228" spans="2:25" ht="51" x14ac:dyDescent="0.25">
      <c r="B228" s="1823"/>
      <c r="C228" s="549"/>
      <c r="D228" s="549"/>
      <c r="E228" s="1823"/>
      <c r="F228" s="539"/>
      <c r="G228" s="551" t="s">
        <v>2563</v>
      </c>
      <c r="H228" s="551" t="s">
        <v>2564</v>
      </c>
      <c r="I228" s="552" t="s">
        <v>427</v>
      </c>
      <c r="J228" s="569">
        <v>288</v>
      </c>
      <c r="K228" s="583">
        <v>144</v>
      </c>
      <c r="L228" s="584">
        <v>150000</v>
      </c>
      <c r="M228" s="583">
        <v>144</v>
      </c>
      <c r="N228" s="584">
        <v>175000</v>
      </c>
      <c r="O228" s="585">
        <v>144</v>
      </c>
      <c r="P228" s="584">
        <v>192500</v>
      </c>
      <c r="Q228" s="585">
        <v>144</v>
      </c>
      <c r="R228" s="584">
        <v>211750</v>
      </c>
      <c r="S228" s="585">
        <v>144</v>
      </c>
      <c r="T228" s="584">
        <v>232925</v>
      </c>
      <c r="U228" s="1080">
        <v>144</v>
      </c>
      <c r="V228" s="1081">
        <v>256217.5</v>
      </c>
      <c r="W228" s="1074">
        <f>SUM(U228+S228+Q228+O228+M228+K228)</f>
        <v>864</v>
      </c>
      <c r="X228" s="557"/>
      <c r="Y228" s="335" t="s">
        <v>1389</v>
      </c>
    </row>
    <row r="229" spans="2:25" ht="76.5" x14ac:dyDescent="0.25">
      <c r="B229" s="1823"/>
      <c r="C229" s="549"/>
      <c r="D229" s="549"/>
      <c r="E229" s="1823"/>
      <c r="F229" s="539"/>
      <c r="G229" s="550" t="s">
        <v>2565</v>
      </c>
      <c r="H229" s="551" t="s">
        <v>2566</v>
      </c>
      <c r="I229" s="552" t="s">
        <v>251</v>
      </c>
      <c r="J229" s="569"/>
      <c r="K229" s="583">
        <v>0</v>
      </c>
      <c r="L229" s="600"/>
      <c r="M229" s="583">
        <v>6</v>
      </c>
      <c r="N229" s="600">
        <v>250000</v>
      </c>
      <c r="O229" s="585"/>
      <c r="P229" s="600"/>
      <c r="Q229" s="585"/>
      <c r="R229" s="600"/>
      <c r="S229" s="585"/>
      <c r="T229" s="600"/>
      <c r="U229" s="585"/>
      <c r="V229" s="600"/>
      <c r="W229" s="556">
        <v>6</v>
      </c>
      <c r="X229" s="557"/>
      <c r="Y229" s="335" t="s">
        <v>1389</v>
      </c>
    </row>
    <row r="230" spans="2:25" ht="63.75" x14ac:dyDescent="0.25">
      <c r="B230" s="1823"/>
      <c r="C230" s="549"/>
      <c r="D230" s="549"/>
      <c r="E230" s="1823"/>
      <c r="F230" s="539"/>
      <c r="G230" s="560"/>
      <c r="H230" s="551" t="s">
        <v>2567</v>
      </c>
      <c r="I230" s="552" t="s">
        <v>251</v>
      </c>
      <c r="J230" s="569"/>
      <c r="K230" s="583">
        <v>0</v>
      </c>
      <c r="L230" s="602"/>
      <c r="M230" s="583">
        <v>15</v>
      </c>
      <c r="N230" s="602"/>
      <c r="O230" s="585"/>
      <c r="P230" s="602"/>
      <c r="Q230" s="585"/>
      <c r="R230" s="602"/>
      <c r="S230" s="585"/>
      <c r="T230" s="602"/>
      <c r="U230" s="585"/>
      <c r="V230" s="602"/>
      <c r="W230" s="556">
        <v>15</v>
      </c>
      <c r="X230" s="557"/>
      <c r="Y230" s="335" t="s">
        <v>1389</v>
      </c>
    </row>
    <row r="231" spans="2:25" ht="76.5" x14ac:dyDescent="0.25">
      <c r="B231" s="1823"/>
      <c r="C231" s="549"/>
      <c r="D231" s="549"/>
      <c r="E231" s="1823"/>
      <c r="F231" s="539"/>
      <c r="G231" s="550" t="s">
        <v>2568</v>
      </c>
      <c r="H231" s="551" t="s">
        <v>2569</v>
      </c>
      <c r="I231" s="552" t="s">
        <v>251</v>
      </c>
      <c r="J231" s="569">
        <v>16</v>
      </c>
      <c r="K231" s="583">
        <v>10</v>
      </c>
      <c r="L231" s="600">
        <v>1934911</v>
      </c>
      <c r="M231" s="583">
        <v>0</v>
      </c>
      <c r="N231" s="600">
        <v>800500</v>
      </c>
      <c r="O231" s="583">
        <v>0</v>
      </c>
      <c r="P231" s="600">
        <v>741000</v>
      </c>
      <c r="Q231" s="583">
        <v>0</v>
      </c>
      <c r="R231" s="600">
        <v>540000</v>
      </c>
      <c r="S231" s="583">
        <v>0</v>
      </c>
      <c r="T231" s="600">
        <v>0</v>
      </c>
      <c r="U231" s="583">
        <v>0</v>
      </c>
      <c r="V231" s="600">
        <v>0</v>
      </c>
      <c r="W231" s="556">
        <v>10</v>
      </c>
      <c r="X231" s="557"/>
      <c r="Y231" s="335" t="s">
        <v>1389</v>
      </c>
    </row>
    <row r="232" spans="2:25" ht="51" x14ac:dyDescent="0.25">
      <c r="B232" s="1823"/>
      <c r="C232" s="549"/>
      <c r="D232" s="549"/>
      <c r="E232" s="1823"/>
      <c r="F232" s="539"/>
      <c r="G232" s="560"/>
      <c r="H232" s="551" t="s">
        <v>2570</v>
      </c>
      <c r="I232" s="552" t="s">
        <v>251</v>
      </c>
      <c r="J232" s="569">
        <v>442</v>
      </c>
      <c r="K232" s="569">
        <v>477</v>
      </c>
      <c r="L232" s="602"/>
      <c r="M232" s="569">
        <v>99</v>
      </c>
      <c r="N232" s="602"/>
      <c r="O232" s="603">
        <v>150</v>
      </c>
      <c r="P232" s="602"/>
      <c r="Q232" s="603">
        <v>60</v>
      </c>
      <c r="R232" s="602"/>
      <c r="S232" s="583">
        <v>0</v>
      </c>
      <c r="T232" s="602"/>
      <c r="U232" s="583">
        <v>0</v>
      </c>
      <c r="V232" s="602"/>
      <c r="W232" s="556">
        <v>786</v>
      </c>
      <c r="X232" s="557"/>
      <c r="Y232" s="335" t="s">
        <v>1389</v>
      </c>
    </row>
    <row r="233" spans="2:25" ht="76.5" x14ac:dyDescent="0.25">
      <c r="B233" s="1823"/>
      <c r="C233" s="549"/>
      <c r="D233" s="549"/>
      <c r="E233" s="1823"/>
      <c r="F233" s="539"/>
      <c r="G233" s="551" t="s">
        <v>2571</v>
      </c>
      <c r="H233" s="551" t="s">
        <v>2572</v>
      </c>
      <c r="I233" s="552" t="s">
        <v>2558</v>
      </c>
      <c r="J233" s="569"/>
      <c r="K233" s="583">
        <v>2</v>
      </c>
      <c r="L233" s="584">
        <v>25000</v>
      </c>
      <c r="M233" s="583">
        <v>0</v>
      </c>
      <c r="N233" s="584">
        <v>0</v>
      </c>
      <c r="O233" s="583">
        <v>0</v>
      </c>
      <c r="P233" s="584">
        <v>0</v>
      </c>
      <c r="Q233" s="583">
        <v>0</v>
      </c>
      <c r="R233" s="584">
        <v>0</v>
      </c>
      <c r="S233" s="583">
        <v>0</v>
      </c>
      <c r="T233" s="584">
        <v>0</v>
      </c>
      <c r="U233" s="583"/>
      <c r="V233" s="584"/>
      <c r="W233" s="556">
        <v>2</v>
      </c>
      <c r="X233" s="557"/>
      <c r="Y233" s="335" t="s">
        <v>1389</v>
      </c>
    </row>
    <row r="234" spans="2:25" ht="45" x14ac:dyDescent="0.25">
      <c r="B234" s="1823"/>
      <c r="C234" s="549"/>
      <c r="D234" s="549"/>
      <c r="E234" s="1823"/>
      <c r="F234" s="604"/>
      <c r="G234" s="592" t="s">
        <v>1396</v>
      </c>
      <c r="H234" s="1082" t="s">
        <v>3219</v>
      </c>
      <c r="I234" s="1083" t="s">
        <v>19</v>
      </c>
      <c r="J234" s="1084"/>
      <c r="K234" s="1085">
        <v>0.5</v>
      </c>
      <c r="L234" s="1086">
        <f>SUM(L235:L237)</f>
        <v>575000</v>
      </c>
      <c r="M234" s="1085">
        <v>0.5</v>
      </c>
      <c r="N234" s="1086">
        <f>SUM(N235:N237)</f>
        <v>600000</v>
      </c>
      <c r="O234" s="1085">
        <v>0.5</v>
      </c>
      <c r="P234" s="1086">
        <f>SUM(P235:P237)</f>
        <v>660000</v>
      </c>
      <c r="Q234" s="1085">
        <v>0.5</v>
      </c>
      <c r="R234" s="1086">
        <f>SUM(R235:R237)</f>
        <v>726000</v>
      </c>
      <c r="S234" s="1085">
        <v>0.5</v>
      </c>
      <c r="T234" s="1086">
        <f>SUM(T235:T237)</f>
        <v>798600</v>
      </c>
      <c r="U234" s="1085">
        <v>0.5</v>
      </c>
      <c r="V234" s="1086">
        <f>SUM(V235:V237)</f>
        <v>878460</v>
      </c>
      <c r="W234" s="1087">
        <f>SUM(U234+S234+Q234+O234+M234+K234)</f>
        <v>3</v>
      </c>
      <c r="X234" s="577"/>
      <c r="Y234" s="335" t="s">
        <v>1389</v>
      </c>
    </row>
    <row r="235" spans="2:25" ht="89.25" x14ac:dyDescent="0.25">
      <c r="B235" s="1823"/>
      <c r="C235" s="549"/>
      <c r="D235" s="549"/>
      <c r="E235" s="1823"/>
      <c r="F235" s="539"/>
      <c r="G235" s="551" t="s">
        <v>2573</v>
      </c>
      <c r="H235" s="1088" t="s">
        <v>2574</v>
      </c>
      <c r="I235" s="1089"/>
      <c r="J235" s="1090" t="s">
        <v>2575</v>
      </c>
      <c r="K235" s="1078">
        <v>2</v>
      </c>
      <c r="L235" s="1081">
        <v>125000</v>
      </c>
      <c r="M235" s="1078">
        <v>2</v>
      </c>
      <c r="N235" s="1081">
        <v>150000</v>
      </c>
      <c r="O235" s="1080">
        <v>2</v>
      </c>
      <c r="P235" s="1080">
        <v>165000</v>
      </c>
      <c r="Q235" s="1080">
        <v>2</v>
      </c>
      <c r="R235" s="1080">
        <v>181500</v>
      </c>
      <c r="S235" s="1080">
        <v>2</v>
      </c>
      <c r="T235" s="1080">
        <v>199650</v>
      </c>
      <c r="U235" s="1080">
        <v>2</v>
      </c>
      <c r="V235" s="1080">
        <v>219615</v>
      </c>
      <c r="W235" s="1074">
        <f>SUM(U235+S235+Q235+O235+M235+K235)</f>
        <v>12</v>
      </c>
      <c r="X235" s="557"/>
      <c r="Y235" s="335" t="s">
        <v>1389</v>
      </c>
    </row>
    <row r="236" spans="2:25" ht="63.75" x14ac:dyDescent="0.25">
      <c r="B236" s="1823"/>
      <c r="C236" s="549"/>
      <c r="D236" s="549"/>
      <c r="E236" s="1823"/>
      <c r="F236" s="539"/>
      <c r="G236" s="550" t="s">
        <v>2576</v>
      </c>
      <c r="H236" s="1088" t="s">
        <v>2577</v>
      </c>
      <c r="I236" s="1089"/>
      <c r="J236" s="1090">
        <v>960</v>
      </c>
      <c r="K236" s="1091">
        <v>400</v>
      </c>
      <c r="L236" s="1092">
        <v>450000</v>
      </c>
      <c r="M236" s="1091">
        <v>400</v>
      </c>
      <c r="N236" s="1092">
        <v>450000</v>
      </c>
      <c r="O236" s="1093">
        <v>400</v>
      </c>
      <c r="P236" s="1094">
        <v>495000</v>
      </c>
      <c r="Q236" s="1093">
        <v>400</v>
      </c>
      <c r="R236" s="1094">
        <v>544500</v>
      </c>
      <c r="S236" s="1093">
        <v>400</v>
      </c>
      <c r="T236" s="1094">
        <v>598950</v>
      </c>
      <c r="U236" s="1093">
        <v>400</v>
      </c>
      <c r="V236" s="1094">
        <v>658845</v>
      </c>
      <c r="W236" s="1074">
        <f>SUM(U236+S236+Q236+O236+M236+K236)</f>
        <v>2400</v>
      </c>
      <c r="X236" s="557"/>
      <c r="Y236" s="335" t="s">
        <v>1389</v>
      </c>
    </row>
    <row r="237" spans="2:25" ht="89.25" x14ac:dyDescent="0.25">
      <c r="B237" s="1823"/>
      <c r="C237" s="549"/>
      <c r="D237" s="549"/>
      <c r="E237" s="1823"/>
      <c r="F237" s="539"/>
      <c r="G237" s="560"/>
      <c r="H237" s="1088" t="s">
        <v>2578</v>
      </c>
      <c r="I237" s="1089"/>
      <c r="J237" s="1090">
        <v>9</v>
      </c>
      <c r="K237" s="1078">
        <v>2</v>
      </c>
      <c r="L237" s="1095"/>
      <c r="M237" s="1078">
        <v>2</v>
      </c>
      <c r="N237" s="1095"/>
      <c r="O237" s="1080">
        <v>2</v>
      </c>
      <c r="P237" s="1096"/>
      <c r="Q237" s="1080">
        <v>2</v>
      </c>
      <c r="R237" s="1096"/>
      <c r="S237" s="1080">
        <v>2</v>
      </c>
      <c r="T237" s="1096"/>
      <c r="U237" s="1080">
        <v>2</v>
      </c>
      <c r="V237" s="1096"/>
      <c r="W237" s="1074">
        <f>SUM(U237+S237+Q237+O237+M237+K237)</f>
        <v>12</v>
      </c>
      <c r="X237" s="557"/>
      <c r="Y237" s="335" t="s">
        <v>1389</v>
      </c>
    </row>
    <row r="238" spans="2:25" ht="48" x14ac:dyDescent="0.25">
      <c r="B238" s="1823"/>
      <c r="C238" s="549"/>
      <c r="D238" s="549"/>
      <c r="E238" s="1823"/>
      <c r="F238" s="604"/>
      <c r="G238" s="544" t="s">
        <v>1424</v>
      </c>
      <c r="H238" s="544" t="s">
        <v>1397</v>
      </c>
      <c r="I238" s="545" t="s">
        <v>19</v>
      </c>
      <c r="J238" s="605">
        <v>10.93</v>
      </c>
      <c r="K238" s="606">
        <v>10.94</v>
      </c>
      <c r="L238" s="595">
        <f>SUM(L239:L246)</f>
        <v>390000</v>
      </c>
      <c r="M238" s="606">
        <v>10.91</v>
      </c>
      <c r="N238" s="595">
        <f>SUM(N239:N246)</f>
        <v>5000000</v>
      </c>
      <c r="O238" s="606">
        <v>10.88</v>
      </c>
      <c r="P238" s="595">
        <f>SUM(P239:P246)</f>
        <v>5170000</v>
      </c>
      <c r="Q238" s="606">
        <v>10.85</v>
      </c>
      <c r="R238" s="595">
        <f>SUM(R239:R246)</f>
        <v>5687000</v>
      </c>
      <c r="S238" s="606">
        <v>10.82</v>
      </c>
      <c r="T238" s="595">
        <f>SUM(T239:T246)</f>
        <v>6255700</v>
      </c>
      <c r="U238" s="606">
        <v>10.82</v>
      </c>
      <c r="V238" s="595">
        <f>SUM(V239:V246)</f>
        <v>6881270</v>
      </c>
      <c r="W238" s="607">
        <v>10.82</v>
      </c>
      <c r="X238" s="577"/>
      <c r="Y238" s="335" t="s">
        <v>1389</v>
      </c>
    </row>
    <row r="239" spans="2:25" ht="76.5" x14ac:dyDescent="0.25">
      <c r="B239" s="1823"/>
      <c r="C239" s="549"/>
      <c r="D239" s="549"/>
      <c r="E239" s="1823"/>
      <c r="F239" s="539"/>
      <c r="G239" s="550" t="s">
        <v>2579</v>
      </c>
      <c r="H239" s="551" t="s">
        <v>2580</v>
      </c>
      <c r="I239" s="552"/>
      <c r="J239" s="569">
        <v>1035</v>
      </c>
      <c r="K239" s="586">
        <v>495</v>
      </c>
      <c r="L239" s="600">
        <v>300000</v>
      </c>
      <c r="M239" s="586">
        <v>495</v>
      </c>
      <c r="N239" s="600">
        <v>300000</v>
      </c>
      <c r="O239" s="589">
        <v>495</v>
      </c>
      <c r="P239" s="588">
        <v>330000</v>
      </c>
      <c r="Q239" s="589">
        <v>495</v>
      </c>
      <c r="R239" s="588">
        <v>363000</v>
      </c>
      <c r="S239" s="589">
        <v>495</v>
      </c>
      <c r="T239" s="588">
        <v>399300</v>
      </c>
      <c r="U239" s="589">
        <v>495</v>
      </c>
      <c r="V239" s="588">
        <v>439230</v>
      </c>
      <c r="W239" s="1074">
        <f t="shared" ref="W239:W244" si="0">SUM(U239+S239+Q239+O239+M239+K239)</f>
        <v>2970</v>
      </c>
      <c r="X239" s="557"/>
      <c r="Y239" s="335" t="s">
        <v>1389</v>
      </c>
    </row>
    <row r="240" spans="2:25" ht="38.25" x14ac:dyDescent="0.25">
      <c r="B240" s="1823"/>
      <c r="C240" s="549"/>
      <c r="D240" s="549"/>
      <c r="E240" s="1823"/>
      <c r="F240" s="539"/>
      <c r="G240" s="560"/>
      <c r="H240" s="551" t="s">
        <v>2581</v>
      </c>
      <c r="I240" s="552"/>
      <c r="J240" s="569">
        <v>9</v>
      </c>
      <c r="K240" s="583">
        <v>11</v>
      </c>
      <c r="L240" s="602"/>
      <c r="M240" s="583">
        <v>11</v>
      </c>
      <c r="N240" s="602"/>
      <c r="O240" s="585">
        <v>11</v>
      </c>
      <c r="P240" s="591"/>
      <c r="Q240" s="585">
        <v>11</v>
      </c>
      <c r="R240" s="591"/>
      <c r="S240" s="585">
        <v>11</v>
      </c>
      <c r="T240" s="591"/>
      <c r="U240" s="585">
        <v>11</v>
      </c>
      <c r="V240" s="591"/>
      <c r="W240" s="1074">
        <f t="shared" si="0"/>
        <v>66</v>
      </c>
      <c r="X240" s="557"/>
      <c r="Y240" s="335" t="s">
        <v>1389</v>
      </c>
    </row>
    <row r="241" spans="2:25" ht="38.25" x14ac:dyDescent="0.25">
      <c r="B241" s="1823"/>
      <c r="C241" s="549"/>
      <c r="D241" s="549"/>
      <c r="E241" s="1823"/>
      <c r="F241" s="538"/>
      <c r="G241" s="551" t="s">
        <v>2582</v>
      </c>
      <c r="H241" s="551" t="s">
        <v>2583</v>
      </c>
      <c r="I241" s="552" t="s">
        <v>2584</v>
      </c>
      <c r="J241" s="569">
        <v>0</v>
      </c>
      <c r="K241" s="583">
        <v>0</v>
      </c>
      <c r="L241" s="600">
        <v>0</v>
      </c>
      <c r="M241" s="583">
        <v>100</v>
      </c>
      <c r="N241" s="588">
        <v>2500000</v>
      </c>
      <c r="O241" s="583">
        <v>100</v>
      </c>
      <c r="P241" s="588">
        <v>2750000</v>
      </c>
      <c r="Q241" s="583">
        <v>100</v>
      </c>
      <c r="R241" s="588">
        <v>3025000</v>
      </c>
      <c r="S241" s="583">
        <v>100</v>
      </c>
      <c r="T241" s="588">
        <v>3327500</v>
      </c>
      <c r="U241" s="583">
        <v>100</v>
      </c>
      <c r="V241" s="588">
        <v>3660250</v>
      </c>
      <c r="W241" s="1074">
        <f t="shared" si="0"/>
        <v>500</v>
      </c>
      <c r="X241" s="557"/>
      <c r="Y241" s="335" t="s">
        <v>1389</v>
      </c>
    </row>
    <row r="242" spans="2:25" ht="25.5" x14ac:dyDescent="0.25">
      <c r="B242" s="1823"/>
      <c r="C242" s="549"/>
      <c r="D242" s="549"/>
      <c r="E242" s="1823"/>
      <c r="F242" s="538"/>
      <c r="G242" s="551"/>
      <c r="H242" s="551" t="s">
        <v>2585</v>
      </c>
      <c r="I242" s="552" t="s">
        <v>2584</v>
      </c>
      <c r="J242" s="569">
        <v>0</v>
      </c>
      <c r="K242" s="583">
        <v>0</v>
      </c>
      <c r="L242" s="608"/>
      <c r="M242" s="583">
        <v>100</v>
      </c>
      <c r="N242" s="609"/>
      <c r="O242" s="583">
        <v>100</v>
      </c>
      <c r="P242" s="609"/>
      <c r="Q242" s="583">
        <v>100</v>
      </c>
      <c r="R242" s="609"/>
      <c r="S242" s="583">
        <v>100</v>
      </c>
      <c r="T242" s="609"/>
      <c r="U242" s="583">
        <v>100</v>
      </c>
      <c r="V242" s="609"/>
      <c r="W242" s="1074">
        <f t="shared" si="0"/>
        <v>500</v>
      </c>
      <c r="X242" s="557"/>
      <c r="Y242" s="335" t="s">
        <v>1389</v>
      </c>
    </row>
    <row r="243" spans="2:25" ht="25.5" x14ac:dyDescent="0.25">
      <c r="B243" s="1823"/>
      <c r="C243" s="549"/>
      <c r="D243" s="549"/>
      <c r="E243" s="1823"/>
      <c r="F243" s="538"/>
      <c r="G243" s="551"/>
      <c r="H243" s="551" t="s">
        <v>2586</v>
      </c>
      <c r="I243" s="552" t="s">
        <v>2584</v>
      </c>
      <c r="J243" s="569">
        <v>0</v>
      </c>
      <c r="K243" s="583">
        <v>0</v>
      </c>
      <c r="L243" s="602"/>
      <c r="M243" s="583">
        <v>500</v>
      </c>
      <c r="N243" s="591"/>
      <c r="O243" s="583">
        <v>500</v>
      </c>
      <c r="P243" s="591"/>
      <c r="Q243" s="583">
        <v>500</v>
      </c>
      <c r="R243" s="591"/>
      <c r="S243" s="583">
        <v>500</v>
      </c>
      <c r="T243" s="591"/>
      <c r="U243" s="583">
        <v>500</v>
      </c>
      <c r="V243" s="591"/>
      <c r="W243" s="1074">
        <f t="shared" si="0"/>
        <v>2500</v>
      </c>
      <c r="X243" s="557"/>
      <c r="Y243" s="335" t="s">
        <v>1389</v>
      </c>
    </row>
    <row r="244" spans="2:25" ht="114.75" x14ac:dyDescent="0.25">
      <c r="B244" s="1823"/>
      <c r="C244" s="549"/>
      <c r="D244" s="549"/>
      <c r="E244" s="1823"/>
      <c r="F244" s="538"/>
      <c r="G244" s="610" t="s">
        <v>2587</v>
      </c>
      <c r="H244" s="611" t="s">
        <v>2588</v>
      </c>
      <c r="I244" s="552" t="s">
        <v>265</v>
      </c>
      <c r="J244" s="569">
        <v>0</v>
      </c>
      <c r="K244" s="583">
        <v>147</v>
      </c>
      <c r="L244" s="612">
        <v>90000</v>
      </c>
      <c r="M244" s="1098">
        <f>SUM(460-K244)</f>
        <v>313</v>
      </c>
      <c r="N244" s="585">
        <v>300000</v>
      </c>
      <c r="O244" s="585"/>
      <c r="P244" s="585"/>
      <c r="Q244" s="585"/>
      <c r="R244" s="585"/>
      <c r="S244" s="585"/>
      <c r="T244" s="585"/>
      <c r="U244" s="585"/>
      <c r="V244" s="585"/>
      <c r="W244" s="1074">
        <f t="shared" si="0"/>
        <v>460</v>
      </c>
      <c r="X244" s="557"/>
      <c r="Y244" s="335" t="s">
        <v>1389</v>
      </c>
    </row>
    <row r="245" spans="2:25" ht="63.75" x14ac:dyDescent="0.25">
      <c r="B245" s="1823"/>
      <c r="C245" s="549"/>
      <c r="D245" s="549"/>
      <c r="E245" s="1823"/>
      <c r="F245" s="549"/>
      <c r="G245" s="550" t="s">
        <v>2589</v>
      </c>
      <c r="H245" s="611" t="s">
        <v>2590</v>
      </c>
      <c r="I245" s="552" t="s">
        <v>2584</v>
      </c>
      <c r="J245" s="569">
        <v>0</v>
      </c>
      <c r="K245" s="583">
        <v>61</v>
      </c>
      <c r="L245" s="600">
        <v>0</v>
      </c>
      <c r="M245" s="583">
        <v>61</v>
      </c>
      <c r="N245" s="588">
        <v>1900000</v>
      </c>
      <c r="O245" s="583">
        <v>61</v>
      </c>
      <c r="P245" s="588">
        <v>2090000</v>
      </c>
      <c r="Q245" s="583">
        <v>61</v>
      </c>
      <c r="R245" s="588">
        <v>2299000</v>
      </c>
      <c r="S245" s="583">
        <v>61</v>
      </c>
      <c r="T245" s="588">
        <v>2528900</v>
      </c>
      <c r="U245" s="583">
        <v>61</v>
      </c>
      <c r="V245" s="588">
        <v>2781790</v>
      </c>
      <c r="W245" s="1097">
        <v>61</v>
      </c>
      <c r="X245" s="557"/>
      <c r="Y245" s="335" t="s">
        <v>1389</v>
      </c>
    </row>
    <row r="246" spans="2:25" ht="114.75" x14ac:dyDescent="0.25">
      <c r="B246" s="1823"/>
      <c r="C246" s="549"/>
      <c r="D246" s="549"/>
      <c r="E246" s="1823"/>
      <c r="F246" s="549"/>
      <c r="G246" s="560"/>
      <c r="H246" s="561" t="s">
        <v>2591</v>
      </c>
      <c r="I246" s="552" t="s">
        <v>2592</v>
      </c>
      <c r="J246" s="569"/>
      <c r="K246" s="583">
        <v>1</v>
      </c>
      <c r="L246" s="602"/>
      <c r="M246" s="583">
        <v>1</v>
      </c>
      <c r="N246" s="591"/>
      <c r="O246" s="583">
        <v>1</v>
      </c>
      <c r="P246" s="591"/>
      <c r="Q246" s="583">
        <v>1</v>
      </c>
      <c r="R246" s="591"/>
      <c r="S246" s="583">
        <v>1</v>
      </c>
      <c r="T246" s="591"/>
      <c r="U246" s="583">
        <v>1</v>
      </c>
      <c r="V246" s="591"/>
      <c r="W246" s="1074">
        <f>SUM(U246+S246+Q246+O246+M246+K246)</f>
        <v>6</v>
      </c>
      <c r="X246" s="557"/>
      <c r="Y246" s="335" t="s">
        <v>1389</v>
      </c>
    </row>
    <row r="247" spans="2:25" ht="84" x14ac:dyDescent="0.25">
      <c r="B247" s="1823"/>
      <c r="C247" s="549"/>
      <c r="D247" s="549"/>
      <c r="E247" s="1823"/>
      <c r="F247" s="613"/>
      <c r="G247" s="544" t="s">
        <v>1398</v>
      </c>
      <c r="H247" s="540" t="s">
        <v>1399</v>
      </c>
      <c r="I247" s="545" t="s">
        <v>103</v>
      </c>
      <c r="J247" s="597">
        <v>12</v>
      </c>
      <c r="K247" s="598">
        <v>6</v>
      </c>
      <c r="L247" s="598">
        <f>SUM(L248)</f>
        <v>220000</v>
      </c>
      <c r="M247" s="598">
        <v>6</v>
      </c>
      <c r="N247" s="598">
        <f>SUM(N248)</f>
        <v>150000</v>
      </c>
      <c r="O247" s="598">
        <v>6</v>
      </c>
      <c r="P247" s="598">
        <f>SUM(P248)</f>
        <v>165000</v>
      </c>
      <c r="Q247" s="598">
        <v>6</v>
      </c>
      <c r="R247" s="598">
        <f>SUM(R248)</f>
        <v>181500</v>
      </c>
      <c r="S247" s="598">
        <v>6</v>
      </c>
      <c r="T247" s="598">
        <f>SUM(T248)</f>
        <v>199650</v>
      </c>
      <c r="U247" s="598">
        <v>6</v>
      </c>
      <c r="V247" s="598">
        <f>SUM(V248)</f>
        <v>219615</v>
      </c>
      <c r="W247" s="576">
        <v>30</v>
      </c>
      <c r="X247" s="577"/>
      <c r="Y247" s="335" t="s">
        <v>1389</v>
      </c>
    </row>
    <row r="248" spans="2:25" ht="76.5" x14ac:dyDescent="0.25">
      <c r="B248" s="1823"/>
      <c r="C248" s="549"/>
      <c r="D248" s="549"/>
      <c r="E248" s="1823"/>
      <c r="F248" s="549"/>
      <c r="G248" s="551" t="s">
        <v>2593</v>
      </c>
      <c r="H248" s="551" t="s">
        <v>2594</v>
      </c>
      <c r="I248" s="552"/>
      <c r="J248" s="569">
        <v>12</v>
      </c>
      <c r="K248" s="583">
        <v>5</v>
      </c>
      <c r="L248" s="584">
        <v>220000</v>
      </c>
      <c r="M248" s="583">
        <v>5</v>
      </c>
      <c r="N248" s="585">
        <v>150000</v>
      </c>
      <c r="O248" s="585">
        <v>5</v>
      </c>
      <c r="P248" s="585">
        <v>165000</v>
      </c>
      <c r="Q248" s="585">
        <v>5</v>
      </c>
      <c r="R248" s="585">
        <v>181500</v>
      </c>
      <c r="S248" s="585">
        <v>5</v>
      </c>
      <c r="T248" s="585">
        <v>199650</v>
      </c>
      <c r="U248" s="585">
        <v>5</v>
      </c>
      <c r="V248" s="585">
        <v>219615</v>
      </c>
      <c r="W248" s="1087">
        <f>SUM(U248+S248+Q248+O248+M248+K248)</f>
        <v>30</v>
      </c>
      <c r="X248" s="557"/>
      <c r="Y248" s="335" t="s">
        <v>1389</v>
      </c>
    </row>
    <row r="249" spans="2:25" x14ac:dyDescent="0.25">
      <c r="B249" s="1823"/>
      <c r="C249" s="549"/>
      <c r="D249" s="549"/>
      <c r="E249" s="561"/>
      <c r="F249" s="561"/>
      <c r="G249" s="1822"/>
      <c r="H249" s="551"/>
      <c r="I249" s="552"/>
      <c r="J249" s="569"/>
      <c r="K249" s="583"/>
      <c r="L249" s="1832"/>
      <c r="M249" s="583"/>
      <c r="N249" s="588"/>
      <c r="O249" s="585"/>
      <c r="P249" s="588"/>
      <c r="Q249" s="585"/>
      <c r="R249" s="588"/>
      <c r="S249" s="585"/>
      <c r="T249" s="588"/>
      <c r="U249" s="585"/>
      <c r="V249" s="588"/>
      <c r="W249" s="1087"/>
      <c r="X249" s="557"/>
      <c r="Y249" s="335"/>
    </row>
    <row r="250" spans="2:25" ht="28.5" customHeight="1" x14ac:dyDescent="0.25">
      <c r="B250" s="1823"/>
      <c r="C250" s="549"/>
      <c r="D250" s="549"/>
      <c r="E250" s="2007" t="s">
        <v>4063</v>
      </c>
      <c r="F250" s="544" t="s">
        <v>4057</v>
      </c>
      <c r="G250" s="976" t="s">
        <v>4061</v>
      </c>
      <c r="H250" s="551"/>
      <c r="I250" s="545" t="s">
        <v>1400</v>
      </c>
      <c r="J250" s="597">
        <v>11101920</v>
      </c>
      <c r="K250" s="598">
        <v>11102031</v>
      </c>
      <c r="L250" s="616"/>
      <c r="M250" s="598">
        <v>11102140</v>
      </c>
      <c r="N250" s="614"/>
      <c r="O250" s="599">
        <v>11102250</v>
      </c>
      <c r="P250" s="614"/>
      <c r="Q250" s="599">
        <v>11102360</v>
      </c>
      <c r="R250" s="614"/>
      <c r="S250" s="599">
        <v>11102470</v>
      </c>
      <c r="T250" s="614"/>
      <c r="U250" s="599">
        <v>11102580</v>
      </c>
      <c r="V250" s="614"/>
      <c r="W250" s="599">
        <f>U250</f>
        <v>11102580</v>
      </c>
      <c r="X250" s="577"/>
      <c r="Y250" s="335" t="s">
        <v>1389</v>
      </c>
    </row>
    <row r="251" spans="2:25" ht="25.5" customHeight="1" x14ac:dyDescent="0.25">
      <c r="B251" s="1823"/>
      <c r="C251" s="549"/>
      <c r="D251" s="549"/>
      <c r="E251" s="2008"/>
      <c r="F251" s="544" t="s">
        <v>4058</v>
      </c>
      <c r="G251" s="976" t="s">
        <v>4062</v>
      </c>
      <c r="H251" s="544"/>
      <c r="I251" s="545" t="s">
        <v>1400</v>
      </c>
      <c r="J251" s="597">
        <v>3836272</v>
      </c>
      <c r="K251" s="598">
        <v>3836310</v>
      </c>
      <c r="L251" s="617"/>
      <c r="M251" s="598">
        <v>3836350</v>
      </c>
      <c r="N251" s="618"/>
      <c r="O251" s="599">
        <v>3836390</v>
      </c>
      <c r="P251" s="618"/>
      <c r="Q251" s="599">
        <v>3836430</v>
      </c>
      <c r="R251" s="618"/>
      <c r="S251" s="599">
        <v>3836470</v>
      </c>
      <c r="T251" s="618"/>
      <c r="U251" s="599">
        <v>3836510</v>
      </c>
      <c r="V251" s="618"/>
      <c r="W251" s="599">
        <f>U251</f>
        <v>3836510</v>
      </c>
      <c r="X251" s="577"/>
      <c r="Y251" s="335" t="s">
        <v>1389</v>
      </c>
    </row>
    <row r="252" spans="2:25" ht="48" x14ac:dyDescent="0.25">
      <c r="B252" s="1823"/>
      <c r="C252" s="549"/>
      <c r="D252" s="549"/>
      <c r="E252" s="1823"/>
      <c r="F252" s="615"/>
      <c r="G252" s="574" t="s">
        <v>1401</v>
      </c>
      <c r="H252" s="544" t="s">
        <v>3176</v>
      </c>
      <c r="I252" s="545" t="s">
        <v>1402</v>
      </c>
      <c r="J252" s="576">
        <v>2946</v>
      </c>
      <c r="K252" s="336">
        <v>800</v>
      </c>
      <c r="L252" s="616">
        <f>SUM(L254:L261)</f>
        <v>1900000</v>
      </c>
      <c r="M252" s="598">
        <v>500</v>
      </c>
      <c r="N252" s="614">
        <f>SUM(N254:N261)</f>
        <v>5300000</v>
      </c>
      <c r="O252" s="599">
        <v>500</v>
      </c>
      <c r="P252" s="614">
        <f>SUM(P254:P261)</f>
        <v>5830000</v>
      </c>
      <c r="Q252" s="599">
        <v>500</v>
      </c>
      <c r="R252" s="614">
        <f>SUM(R254:R261)</f>
        <v>6413000</v>
      </c>
      <c r="S252" s="599">
        <v>500</v>
      </c>
      <c r="T252" s="614">
        <f>SUM(T254:T261)</f>
        <v>7054300</v>
      </c>
      <c r="U252" s="599">
        <v>500</v>
      </c>
      <c r="V252" s="614">
        <f>SUM(V254:V261)</f>
        <v>7759730</v>
      </c>
      <c r="W252" s="576">
        <f>K252+M252+O252+Q252+S252+U252</f>
        <v>3300</v>
      </c>
      <c r="X252" s="577"/>
      <c r="Y252" s="335" t="s">
        <v>1389</v>
      </c>
    </row>
    <row r="253" spans="2:25" ht="48" x14ac:dyDescent="0.25">
      <c r="B253" s="1823"/>
      <c r="C253" s="549"/>
      <c r="D253" s="549"/>
      <c r="E253" s="1823"/>
      <c r="F253" s="615"/>
      <c r="G253" s="582"/>
      <c r="H253" s="544" t="s">
        <v>4060</v>
      </c>
      <c r="I253" s="545" t="s">
        <v>1402</v>
      </c>
      <c r="J253" s="1833"/>
      <c r="K253" s="1833"/>
      <c r="L253" s="616"/>
      <c r="M253" s="1833"/>
      <c r="N253" s="614"/>
      <c r="O253" s="1833"/>
      <c r="P253" s="614"/>
      <c r="Q253" s="1833"/>
      <c r="R253" s="614"/>
      <c r="S253" s="1833"/>
      <c r="T253" s="614"/>
      <c r="U253" s="1833"/>
      <c r="V253" s="614"/>
      <c r="W253" s="1833"/>
      <c r="X253" s="577"/>
      <c r="Y253" s="335"/>
    </row>
    <row r="254" spans="2:25" ht="25.5" x14ac:dyDescent="0.25">
      <c r="B254" s="1823"/>
      <c r="C254" s="549"/>
      <c r="D254" s="549"/>
      <c r="E254" s="1823"/>
      <c r="F254" s="538"/>
      <c r="G254" s="550" t="s">
        <v>2595</v>
      </c>
      <c r="H254" s="551" t="s">
        <v>2596</v>
      </c>
      <c r="I254" s="552" t="s">
        <v>69</v>
      </c>
      <c r="J254" s="569">
        <v>4</v>
      </c>
      <c r="K254" s="586">
        <v>1</v>
      </c>
      <c r="L254" s="600">
        <v>1400000</v>
      </c>
      <c r="M254" s="586">
        <v>1</v>
      </c>
      <c r="N254" s="600">
        <v>1800000</v>
      </c>
      <c r="O254" s="586">
        <v>1</v>
      </c>
      <c r="P254" s="588">
        <v>1980000</v>
      </c>
      <c r="Q254" s="586">
        <v>1</v>
      </c>
      <c r="R254" s="588">
        <v>2178000</v>
      </c>
      <c r="S254" s="586">
        <v>1</v>
      </c>
      <c r="T254" s="588">
        <v>2395800</v>
      </c>
      <c r="U254" s="586">
        <v>1</v>
      </c>
      <c r="V254" s="588">
        <v>2635380</v>
      </c>
      <c r="W254" s="1074">
        <f t="shared" ref="W254:W261" si="1">SUM(U254+S254+Q254+O254+M254+K254)</f>
        <v>6</v>
      </c>
      <c r="X254" s="557"/>
      <c r="Y254" s="335" t="s">
        <v>1389</v>
      </c>
    </row>
    <row r="255" spans="2:25" x14ac:dyDescent="0.25">
      <c r="B255" s="1823"/>
      <c r="C255" s="549"/>
      <c r="D255" s="549"/>
      <c r="E255" s="1823"/>
      <c r="F255" s="538"/>
      <c r="G255" s="549"/>
      <c r="H255" s="551" t="s">
        <v>2597</v>
      </c>
      <c r="I255" s="552" t="s">
        <v>103</v>
      </c>
      <c r="J255" s="569">
        <v>2</v>
      </c>
      <c r="K255" s="583">
        <v>1</v>
      </c>
      <c r="L255" s="608"/>
      <c r="M255" s="583">
        <v>1</v>
      </c>
      <c r="N255" s="608"/>
      <c r="O255" s="583">
        <v>1</v>
      </c>
      <c r="P255" s="609"/>
      <c r="Q255" s="583">
        <v>1</v>
      </c>
      <c r="R255" s="609"/>
      <c r="S255" s="583">
        <v>1</v>
      </c>
      <c r="T255" s="609"/>
      <c r="U255" s="583">
        <v>1</v>
      </c>
      <c r="V255" s="609"/>
      <c r="W255" s="1074">
        <f t="shared" si="1"/>
        <v>6</v>
      </c>
      <c r="X255" s="557"/>
      <c r="Y255" s="335" t="s">
        <v>1389</v>
      </c>
    </row>
    <row r="256" spans="2:25" ht="38.25" x14ac:dyDescent="0.25">
      <c r="B256" s="1823"/>
      <c r="C256" s="549"/>
      <c r="D256" s="549"/>
      <c r="E256" s="1823"/>
      <c r="F256" s="538"/>
      <c r="G256" s="549"/>
      <c r="H256" s="551" t="s">
        <v>2598</v>
      </c>
      <c r="I256" s="552" t="s">
        <v>1402</v>
      </c>
      <c r="J256" s="569" t="s">
        <v>2575</v>
      </c>
      <c r="K256" s="583">
        <v>25</v>
      </c>
      <c r="L256" s="608"/>
      <c r="M256" s="583">
        <v>25</v>
      </c>
      <c r="N256" s="608"/>
      <c r="O256" s="583">
        <v>25</v>
      </c>
      <c r="P256" s="609"/>
      <c r="Q256" s="583">
        <v>25</v>
      </c>
      <c r="R256" s="609"/>
      <c r="S256" s="583">
        <v>25</v>
      </c>
      <c r="T256" s="609"/>
      <c r="U256" s="583">
        <v>25</v>
      </c>
      <c r="V256" s="609"/>
      <c r="W256" s="1074">
        <f t="shared" si="1"/>
        <v>150</v>
      </c>
      <c r="X256" s="557"/>
      <c r="Y256" s="335" t="s">
        <v>1389</v>
      </c>
    </row>
    <row r="257" spans="2:25" ht="51" x14ac:dyDescent="0.25">
      <c r="B257" s="1823"/>
      <c r="C257" s="549"/>
      <c r="D257" s="549"/>
      <c r="E257" s="1823"/>
      <c r="F257" s="538"/>
      <c r="G257" s="549"/>
      <c r="H257" s="551" t="s">
        <v>2599</v>
      </c>
      <c r="I257" s="552" t="s">
        <v>327</v>
      </c>
      <c r="J257" s="569"/>
      <c r="K257" s="583">
        <v>2</v>
      </c>
      <c r="L257" s="608"/>
      <c r="M257" s="583">
        <v>2</v>
      </c>
      <c r="N257" s="608"/>
      <c r="O257" s="583">
        <v>1</v>
      </c>
      <c r="P257" s="609"/>
      <c r="Q257" s="583">
        <v>1</v>
      </c>
      <c r="R257" s="609"/>
      <c r="S257" s="583">
        <v>1</v>
      </c>
      <c r="T257" s="609"/>
      <c r="U257" s="583">
        <v>1</v>
      </c>
      <c r="V257" s="609"/>
      <c r="W257" s="1074">
        <f t="shared" si="1"/>
        <v>8</v>
      </c>
      <c r="X257" s="557"/>
      <c r="Y257" s="335" t="s">
        <v>1389</v>
      </c>
    </row>
    <row r="258" spans="2:25" ht="38.25" x14ac:dyDescent="0.25">
      <c r="B258" s="1823"/>
      <c r="C258" s="549"/>
      <c r="D258" s="549"/>
      <c r="E258" s="1823"/>
      <c r="F258" s="538"/>
      <c r="G258" s="560"/>
      <c r="H258" s="551" t="s">
        <v>2600</v>
      </c>
      <c r="I258" s="552" t="s">
        <v>327</v>
      </c>
      <c r="J258" s="569">
        <v>29</v>
      </c>
      <c r="K258" s="583">
        <v>25</v>
      </c>
      <c r="L258" s="602"/>
      <c r="M258" s="583">
        <v>25</v>
      </c>
      <c r="N258" s="602"/>
      <c r="O258" s="583">
        <v>10</v>
      </c>
      <c r="P258" s="591"/>
      <c r="Q258" s="583">
        <v>10</v>
      </c>
      <c r="R258" s="591"/>
      <c r="S258" s="583">
        <v>10</v>
      </c>
      <c r="T258" s="591"/>
      <c r="U258" s="583">
        <v>10</v>
      </c>
      <c r="V258" s="591"/>
      <c r="W258" s="1074">
        <f t="shared" si="1"/>
        <v>90</v>
      </c>
      <c r="X258" s="557"/>
      <c r="Y258" s="335" t="s">
        <v>1389</v>
      </c>
    </row>
    <row r="259" spans="2:25" ht="63.75" x14ac:dyDescent="0.25">
      <c r="B259" s="1823"/>
      <c r="C259" s="549"/>
      <c r="D259" s="549"/>
      <c r="E259" s="1823"/>
      <c r="F259" s="549"/>
      <c r="G259" s="550" t="s">
        <v>2601</v>
      </c>
      <c r="H259" s="550" t="s">
        <v>2602</v>
      </c>
      <c r="I259" s="552" t="s">
        <v>103</v>
      </c>
      <c r="J259" s="569">
        <v>175</v>
      </c>
      <c r="K259" s="603">
        <v>15</v>
      </c>
      <c r="L259" s="600">
        <v>500000</v>
      </c>
      <c r="M259" s="586">
        <v>15</v>
      </c>
      <c r="N259" s="600">
        <v>500000</v>
      </c>
      <c r="O259" s="586">
        <v>15</v>
      </c>
      <c r="P259" s="588">
        <v>550000</v>
      </c>
      <c r="Q259" s="586">
        <v>15</v>
      </c>
      <c r="R259" s="588">
        <v>605000</v>
      </c>
      <c r="S259" s="586">
        <v>15</v>
      </c>
      <c r="T259" s="588">
        <v>665500</v>
      </c>
      <c r="U259" s="586">
        <v>15</v>
      </c>
      <c r="V259" s="588">
        <v>732050</v>
      </c>
      <c r="W259" s="1074">
        <f t="shared" si="1"/>
        <v>90</v>
      </c>
      <c r="X259" s="557"/>
      <c r="Y259" s="335" t="s">
        <v>1389</v>
      </c>
    </row>
    <row r="260" spans="2:25" ht="38.25" x14ac:dyDescent="0.25">
      <c r="B260" s="1823"/>
      <c r="C260" s="549"/>
      <c r="D260" s="549"/>
      <c r="E260" s="1823"/>
      <c r="F260" s="549"/>
      <c r="G260" s="560"/>
      <c r="H260" s="551" t="s">
        <v>1403</v>
      </c>
      <c r="I260" s="552" t="s">
        <v>2603</v>
      </c>
      <c r="J260" s="569">
        <v>0</v>
      </c>
      <c r="K260" s="583">
        <v>20000</v>
      </c>
      <c r="L260" s="602"/>
      <c r="M260" s="583">
        <v>10000</v>
      </c>
      <c r="N260" s="602"/>
      <c r="O260" s="583">
        <v>10000</v>
      </c>
      <c r="P260" s="591"/>
      <c r="Q260" s="583">
        <v>10000</v>
      </c>
      <c r="R260" s="591"/>
      <c r="S260" s="583">
        <v>10000</v>
      </c>
      <c r="T260" s="591"/>
      <c r="U260" s="583">
        <v>10000</v>
      </c>
      <c r="V260" s="591"/>
      <c r="W260" s="1074">
        <f t="shared" si="1"/>
        <v>70000</v>
      </c>
      <c r="X260" s="557"/>
      <c r="Y260" s="335" t="s">
        <v>1389</v>
      </c>
    </row>
    <row r="261" spans="2:25" ht="76.5" x14ac:dyDescent="0.25">
      <c r="B261" s="1823"/>
      <c r="C261" s="549"/>
      <c r="D261" s="549"/>
      <c r="E261" s="1823"/>
      <c r="F261" s="538"/>
      <c r="G261" s="610" t="s">
        <v>2604</v>
      </c>
      <c r="H261" s="551" t="s">
        <v>2605</v>
      </c>
      <c r="I261" s="552" t="s">
        <v>2592</v>
      </c>
      <c r="J261" s="569">
        <v>0</v>
      </c>
      <c r="K261" s="583">
        <v>0</v>
      </c>
      <c r="L261" s="612">
        <v>0</v>
      </c>
      <c r="M261" s="583">
        <v>1</v>
      </c>
      <c r="N261" s="612">
        <v>3000000</v>
      </c>
      <c r="O261" s="583">
        <v>1</v>
      </c>
      <c r="P261" s="585">
        <v>3300000</v>
      </c>
      <c r="Q261" s="583">
        <v>1</v>
      </c>
      <c r="R261" s="585">
        <v>3630000</v>
      </c>
      <c r="S261" s="583">
        <v>1</v>
      </c>
      <c r="T261" s="585">
        <v>3993000</v>
      </c>
      <c r="U261" s="583">
        <v>1</v>
      </c>
      <c r="V261" s="585">
        <v>4392300</v>
      </c>
      <c r="W261" s="1074">
        <f t="shared" si="1"/>
        <v>5</v>
      </c>
      <c r="X261" s="557"/>
      <c r="Y261" s="335" t="s">
        <v>1389</v>
      </c>
    </row>
    <row r="262" spans="2:25" ht="48" x14ac:dyDescent="0.25">
      <c r="B262" s="1823"/>
      <c r="C262" s="549"/>
      <c r="D262" s="549"/>
      <c r="E262" s="1823"/>
      <c r="F262" s="615"/>
      <c r="G262" s="592" t="s">
        <v>1404</v>
      </c>
      <c r="H262" s="544" t="s">
        <v>4059</v>
      </c>
      <c r="I262" s="545" t="s">
        <v>1402</v>
      </c>
      <c r="J262" s="576">
        <v>13052</v>
      </c>
      <c r="K262" s="619">
        <v>13150</v>
      </c>
      <c r="L262" s="614">
        <f>SUM(L263:L265)</f>
        <v>660000</v>
      </c>
      <c r="M262" s="619">
        <v>13250</v>
      </c>
      <c r="N262" s="614">
        <f>SUM(N263:N265)</f>
        <v>523500</v>
      </c>
      <c r="O262" s="619">
        <v>13400</v>
      </c>
      <c r="P262" s="614">
        <f>SUM(P263:P265)</f>
        <v>575850</v>
      </c>
      <c r="Q262" s="619">
        <v>13500</v>
      </c>
      <c r="R262" s="614">
        <f>SUM(R263:R265)</f>
        <v>633435</v>
      </c>
      <c r="S262" s="619">
        <v>13750</v>
      </c>
      <c r="T262" s="614">
        <f>SUM(T263:T265)</f>
        <v>696778.5</v>
      </c>
      <c r="U262" s="619">
        <v>13750</v>
      </c>
      <c r="V262" s="614">
        <f>SUM(V263:V265)</f>
        <v>766456.35</v>
      </c>
      <c r="W262" s="985">
        <v>67050</v>
      </c>
      <c r="X262" s="577"/>
      <c r="Y262" s="335" t="s">
        <v>1389</v>
      </c>
    </row>
    <row r="263" spans="2:25" ht="191.25" x14ac:dyDescent="0.25">
      <c r="B263" s="1823"/>
      <c r="C263" s="549"/>
      <c r="D263" s="549"/>
      <c r="E263" s="1823"/>
      <c r="F263" s="538"/>
      <c r="G263" s="551" t="s">
        <v>2606</v>
      </c>
      <c r="H263" s="551" t="s">
        <v>2607</v>
      </c>
      <c r="I263" s="552"/>
      <c r="J263" s="569">
        <v>2617</v>
      </c>
      <c r="K263" s="583">
        <v>860</v>
      </c>
      <c r="L263" s="584">
        <v>260000</v>
      </c>
      <c r="M263" s="583">
        <v>860</v>
      </c>
      <c r="N263" s="585">
        <v>260000</v>
      </c>
      <c r="O263" s="585">
        <v>860</v>
      </c>
      <c r="P263" s="585">
        <v>286000</v>
      </c>
      <c r="Q263" s="585">
        <v>860</v>
      </c>
      <c r="R263" s="585">
        <v>314600</v>
      </c>
      <c r="S263" s="585">
        <v>860</v>
      </c>
      <c r="T263" s="585">
        <v>346060</v>
      </c>
      <c r="U263" s="585">
        <v>860</v>
      </c>
      <c r="V263" s="585">
        <v>380666</v>
      </c>
      <c r="W263" s="1074">
        <f>SUM(U263+S263+Q263+O263+M263+K263)</f>
        <v>5160</v>
      </c>
      <c r="X263" s="557"/>
      <c r="Y263" s="335" t="s">
        <v>1389</v>
      </c>
    </row>
    <row r="264" spans="2:25" ht="38.25" x14ac:dyDescent="0.25">
      <c r="B264" s="1823"/>
      <c r="C264" s="549"/>
      <c r="D264" s="549"/>
      <c r="E264" s="1823"/>
      <c r="F264" s="538"/>
      <c r="G264" s="550" t="s">
        <v>2608</v>
      </c>
      <c r="H264" s="551" t="s">
        <v>2609</v>
      </c>
      <c r="I264" s="552"/>
      <c r="J264" s="569">
        <v>4</v>
      </c>
      <c r="K264" s="583">
        <v>1</v>
      </c>
      <c r="L264" s="600">
        <v>400000</v>
      </c>
      <c r="M264" s="583">
        <v>1</v>
      </c>
      <c r="N264" s="600">
        <v>263500</v>
      </c>
      <c r="O264" s="583">
        <v>1</v>
      </c>
      <c r="P264" s="588">
        <v>289850</v>
      </c>
      <c r="Q264" s="583">
        <v>1</v>
      </c>
      <c r="R264" s="588">
        <v>318835</v>
      </c>
      <c r="S264" s="583">
        <v>1</v>
      </c>
      <c r="T264" s="588">
        <v>350718.5</v>
      </c>
      <c r="U264" s="583">
        <v>1</v>
      </c>
      <c r="V264" s="588">
        <v>385790.35</v>
      </c>
      <c r="W264" s="1074">
        <f>SUM(U264+S264+Q264+O264+M264+K264)</f>
        <v>6</v>
      </c>
      <c r="X264" s="557"/>
      <c r="Y264" s="335" t="s">
        <v>1389</v>
      </c>
    </row>
    <row r="265" spans="2:25" ht="25.5" x14ac:dyDescent="0.25">
      <c r="B265" s="1823"/>
      <c r="C265" s="549"/>
      <c r="D265" s="549"/>
      <c r="E265" s="1823"/>
      <c r="F265" s="538"/>
      <c r="G265" s="560"/>
      <c r="H265" s="551" t="s">
        <v>2610</v>
      </c>
      <c r="I265" s="552"/>
      <c r="J265" s="569">
        <v>3</v>
      </c>
      <c r="K265" s="583">
        <v>8</v>
      </c>
      <c r="L265" s="602"/>
      <c r="M265" s="583">
        <v>8</v>
      </c>
      <c r="N265" s="602"/>
      <c r="O265" s="583">
        <v>8</v>
      </c>
      <c r="P265" s="591"/>
      <c r="Q265" s="583">
        <v>8</v>
      </c>
      <c r="R265" s="591"/>
      <c r="S265" s="583">
        <v>8</v>
      </c>
      <c r="T265" s="591"/>
      <c r="U265" s="583">
        <v>8</v>
      </c>
      <c r="V265" s="591"/>
      <c r="W265" s="1074">
        <f>SUM(U265+S265+Q265+O265+M265+K265)</f>
        <v>48</v>
      </c>
      <c r="X265" s="557"/>
      <c r="Y265" s="335" t="s">
        <v>1389</v>
      </c>
    </row>
    <row r="266" spans="2:25" ht="72" x14ac:dyDescent="0.25">
      <c r="B266" s="1823"/>
      <c r="C266" s="549"/>
      <c r="D266" s="549"/>
      <c r="E266" s="1823"/>
      <c r="F266" s="620"/>
      <c r="G266" s="544" t="s">
        <v>1405</v>
      </c>
      <c r="H266" s="544" t="s">
        <v>3209</v>
      </c>
      <c r="I266" s="545" t="s">
        <v>75</v>
      </c>
      <c r="J266" s="597">
        <v>2</v>
      </c>
      <c r="K266" s="598">
        <v>2</v>
      </c>
      <c r="L266" s="598">
        <f>SUM(L267)</f>
        <v>250000</v>
      </c>
      <c r="M266" s="598">
        <v>2</v>
      </c>
      <c r="N266" s="598">
        <f>SUM(N267)</f>
        <v>250000</v>
      </c>
      <c r="O266" s="599">
        <v>2</v>
      </c>
      <c r="P266" s="598">
        <f>SUM(P267)</f>
        <v>275000</v>
      </c>
      <c r="Q266" s="599">
        <v>2</v>
      </c>
      <c r="R266" s="598">
        <f>SUM(R267)</f>
        <v>302500</v>
      </c>
      <c r="S266" s="599">
        <v>2</v>
      </c>
      <c r="T266" s="598">
        <f>SUM(T267)</f>
        <v>332750</v>
      </c>
      <c r="U266" s="599">
        <v>2</v>
      </c>
      <c r="V266" s="598">
        <f>SUM(V267)</f>
        <v>366025</v>
      </c>
      <c r="W266" s="576">
        <v>2</v>
      </c>
      <c r="X266" s="577"/>
      <c r="Y266" s="335" t="s">
        <v>1389</v>
      </c>
    </row>
    <row r="267" spans="2:25" ht="51" x14ac:dyDescent="0.25">
      <c r="B267" s="1824"/>
      <c r="C267" s="560"/>
      <c r="D267" s="560"/>
      <c r="E267" s="1824"/>
      <c r="F267" s="621"/>
      <c r="G267" s="551" t="s">
        <v>2611</v>
      </c>
      <c r="H267" s="551" t="s">
        <v>1406</v>
      </c>
      <c r="I267" s="552"/>
      <c r="J267" s="569">
        <v>2</v>
      </c>
      <c r="K267" s="583">
        <v>2</v>
      </c>
      <c r="L267" s="584">
        <v>250000</v>
      </c>
      <c r="M267" s="583">
        <v>2</v>
      </c>
      <c r="N267" s="584">
        <v>250000</v>
      </c>
      <c r="O267" s="585">
        <v>2</v>
      </c>
      <c r="P267" s="585">
        <v>275000</v>
      </c>
      <c r="Q267" s="585">
        <v>2</v>
      </c>
      <c r="R267" s="585">
        <v>302500</v>
      </c>
      <c r="S267" s="585">
        <v>2</v>
      </c>
      <c r="T267" s="585">
        <v>332750</v>
      </c>
      <c r="U267" s="585">
        <v>2</v>
      </c>
      <c r="V267" s="585">
        <v>366025</v>
      </c>
      <c r="W267" s="556">
        <v>2</v>
      </c>
      <c r="X267" s="557"/>
      <c r="Y267" s="335" t="s">
        <v>1389</v>
      </c>
    </row>
    <row r="268" spans="2:25" x14ac:dyDescent="0.25">
      <c r="B268" s="538"/>
      <c r="C268" s="538"/>
      <c r="D268" s="538"/>
      <c r="E268" s="538"/>
      <c r="F268" s="621"/>
      <c r="G268" s="551"/>
      <c r="H268" s="551"/>
      <c r="I268" s="552"/>
      <c r="J268" s="569"/>
      <c r="K268" s="583"/>
      <c r="L268" s="584"/>
      <c r="M268" s="583"/>
      <c r="N268" s="584"/>
      <c r="O268" s="585"/>
      <c r="P268" s="585"/>
      <c r="Q268" s="585"/>
      <c r="R268" s="585"/>
      <c r="S268" s="585"/>
      <c r="T268" s="585"/>
      <c r="U268" s="585"/>
      <c r="V268" s="585"/>
      <c r="W268" s="556"/>
      <c r="X268" s="557"/>
      <c r="Y268" s="335" t="s">
        <v>1389</v>
      </c>
    </row>
    <row r="269" spans="2:25" ht="60" customHeight="1" x14ac:dyDescent="0.25">
      <c r="B269" s="1948" t="s">
        <v>33</v>
      </c>
      <c r="C269" s="1946" t="s">
        <v>34</v>
      </c>
      <c r="D269" s="1946" t="s">
        <v>3831</v>
      </c>
      <c r="E269" s="1792" t="s">
        <v>3992</v>
      </c>
      <c r="F269" s="1946" t="s">
        <v>3913</v>
      </c>
      <c r="G269" s="38" t="s">
        <v>3133</v>
      </c>
      <c r="H269" s="544" t="s">
        <v>35</v>
      </c>
      <c r="I269" s="545" t="s">
        <v>19</v>
      </c>
      <c r="J269" s="579">
        <v>90</v>
      </c>
      <c r="K269" s="593">
        <v>91</v>
      </c>
      <c r="L269" s="597"/>
      <c r="M269" s="593">
        <v>92</v>
      </c>
      <c r="N269" s="597"/>
      <c r="O269" s="593">
        <v>93</v>
      </c>
      <c r="P269" s="597"/>
      <c r="Q269" s="593">
        <v>94</v>
      </c>
      <c r="R269" s="597"/>
      <c r="S269" s="593">
        <v>95</v>
      </c>
      <c r="T269" s="597"/>
      <c r="U269" s="593">
        <v>96</v>
      </c>
      <c r="V269" s="597"/>
      <c r="W269" s="622">
        <v>96</v>
      </c>
      <c r="X269" s="577"/>
      <c r="Y269" s="335" t="s">
        <v>1389</v>
      </c>
    </row>
    <row r="270" spans="2:25" ht="72" x14ac:dyDescent="0.25">
      <c r="B270" s="1949"/>
      <c r="C270" s="1947"/>
      <c r="D270" s="1947"/>
      <c r="E270" s="1793"/>
      <c r="F270" s="1947"/>
      <c r="G270" s="544" t="s">
        <v>36</v>
      </c>
      <c r="H270" s="540" t="s">
        <v>386</v>
      </c>
      <c r="I270" s="545" t="s">
        <v>19</v>
      </c>
      <c r="J270" s="597">
        <v>100</v>
      </c>
      <c r="K270" s="623">
        <v>20</v>
      </c>
      <c r="L270" s="623">
        <f>SUM(L271:L284)</f>
        <v>619620</v>
      </c>
      <c r="M270" s="623">
        <v>20</v>
      </c>
      <c r="N270" s="623">
        <f>SUM(N271:N284)</f>
        <v>726922</v>
      </c>
      <c r="O270" s="623">
        <v>15</v>
      </c>
      <c r="P270" s="623">
        <f>SUM(P271:P284)</f>
        <v>799614.2</v>
      </c>
      <c r="Q270" s="623">
        <v>15</v>
      </c>
      <c r="R270" s="623">
        <f>SUM(R271:R284)</f>
        <v>879575.62000000011</v>
      </c>
      <c r="S270" s="623">
        <v>15</v>
      </c>
      <c r="T270" s="623">
        <f>SUM(T271:T284)</f>
        <v>967533.18200000003</v>
      </c>
      <c r="U270" s="623">
        <v>15</v>
      </c>
      <c r="V270" s="623">
        <f>SUM(V271:V284)</f>
        <v>1064286.5002000001</v>
      </c>
      <c r="W270" s="576">
        <v>100</v>
      </c>
      <c r="X270" s="624"/>
      <c r="Y270" s="335" t="s">
        <v>1389</v>
      </c>
    </row>
    <row r="271" spans="2:25" ht="63.75" x14ac:dyDescent="0.25">
      <c r="B271" s="1949"/>
      <c r="C271" s="549"/>
      <c r="D271" s="549"/>
      <c r="E271" s="549"/>
      <c r="F271" s="549"/>
      <c r="G271" s="551" t="s">
        <v>124</v>
      </c>
      <c r="H271" s="551" t="s">
        <v>2612</v>
      </c>
      <c r="I271" s="552" t="s">
        <v>40</v>
      </c>
      <c r="J271" s="569"/>
      <c r="K271" s="553">
        <v>12</v>
      </c>
      <c r="L271" s="553">
        <v>2000</v>
      </c>
      <c r="M271" s="553">
        <v>12</v>
      </c>
      <c r="N271" s="556">
        <v>2200</v>
      </c>
      <c r="O271" s="553">
        <v>12</v>
      </c>
      <c r="P271" s="556">
        <v>2420</v>
      </c>
      <c r="Q271" s="553">
        <v>12</v>
      </c>
      <c r="R271" s="556">
        <v>2662</v>
      </c>
      <c r="S271" s="553">
        <v>12</v>
      </c>
      <c r="T271" s="556">
        <v>2928.2</v>
      </c>
      <c r="U271" s="553">
        <v>12</v>
      </c>
      <c r="V271" s="556">
        <v>3221.02</v>
      </c>
      <c r="W271" s="556"/>
      <c r="X271" s="557"/>
      <c r="Y271" s="335" t="s">
        <v>1389</v>
      </c>
    </row>
    <row r="272" spans="2:25" ht="51" x14ac:dyDescent="0.25">
      <c r="B272" s="1949"/>
      <c r="C272" s="549"/>
      <c r="D272" s="549"/>
      <c r="E272" s="549"/>
      <c r="F272" s="549"/>
      <c r="G272" s="551" t="s">
        <v>126</v>
      </c>
      <c r="H272" s="551" t="s">
        <v>2613</v>
      </c>
      <c r="I272" s="552" t="s">
        <v>40</v>
      </c>
      <c r="J272" s="569"/>
      <c r="K272" s="553">
        <v>12</v>
      </c>
      <c r="L272" s="553">
        <v>81660</v>
      </c>
      <c r="M272" s="553">
        <v>12</v>
      </c>
      <c r="N272" s="556">
        <v>78826</v>
      </c>
      <c r="O272" s="553">
        <v>12</v>
      </c>
      <c r="P272" s="556">
        <v>86708.6</v>
      </c>
      <c r="Q272" s="553">
        <v>12</v>
      </c>
      <c r="R272" s="556">
        <v>95379.46</v>
      </c>
      <c r="S272" s="553">
        <v>12</v>
      </c>
      <c r="T272" s="556">
        <v>104917.406</v>
      </c>
      <c r="U272" s="553">
        <v>12</v>
      </c>
      <c r="V272" s="556">
        <v>115409.14660000001</v>
      </c>
      <c r="W272" s="556"/>
      <c r="X272" s="557"/>
      <c r="Y272" s="335" t="s">
        <v>1389</v>
      </c>
    </row>
    <row r="273" spans="2:25" ht="89.25" x14ac:dyDescent="0.25">
      <c r="B273" s="1949"/>
      <c r="C273" s="549"/>
      <c r="D273" s="549"/>
      <c r="E273" s="549"/>
      <c r="F273" s="549"/>
      <c r="G273" s="551" t="s">
        <v>43</v>
      </c>
      <c r="H273" s="551" t="s">
        <v>2614</v>
      </c>
      <c r="I273" s="552" t="s">
        <v>40</v>
      </c>
      <c r="J273" s="569"/>
      <c r="K273" s="553">
        <v>12</v>
      </c>
      <c r="L273" s="553">
        <v>82000</v>
      </c>
      <c r="M273" s="553">
        <v>12</v>
      </c>
      <c r="N273" s="585">
        <v>92200</v>
      </c>
      <c r="O273" s="553">
        <v>12</v>
      </c>
      <c r="P273" s="556">
        <v>101420</v>
      </c>
      <c r="Q273" s="553">
        <v>12</v>
      </c>
      <c r="R273" s="556">
        <v>111562</v>
      </c>
      <c r="S273" s="553">
        <v>12</v>
      </c>
      <c r="T273" s="556">
        <v>122718.2</v>
      </c>
      <c r="U273" s="553">
        <v>12</v>
      </c>
      <c r="V273" s="556">
        <v>134990.01999999999</v>
      </c>
      <c r="W273" s="556"/>
      <c r="X273" s="557"/>
      <c r="Y273" s="335" t="s">
        <v>1389</v>
      </c>
    </row>
    <row r="274" spans="2:25" ht="38.25" x14ac:dyDescent="0.25">
      <c r="B274" s="1949"/>
      <c r="C274" s="549"/>
      <c r="D274" s="549"/>
      <c r="E274" s="549"/>
      <c r="F274" s="549"/>
      <c r="G274" s="551" t="s">
        <v>45</v>
      </c>
      <c r="H274" s="551" t="s">
        <v>2615</v>
      </c>
      <c r="I274" s="552" t="s">
        <v>40</v>
      </c>
      <c r="J274" s="569"/>
      <c r="K274" s="553">
        <v>12</v>
      </c>
      <c r="L274" s="553">
        <v>37310</v>
      </c>
      <c r="M274" s="553">
        <v>12</v>
      </c>
      <c r="N274" s="585">
        <v>78056</v>
      </c>
      <c r="O274" s="553">
        <v>12</v>
      </c>
      <c r="P274" s="556">
        <v>85861.6</v>
      </c>
      <c r="Q274" s="553">
        <v>12</v>
      </c>
      <c r="R274" s="556">
        <v>94447.760000000009</v>
      </c>
      <c r="S274" s="553">
        <v>12</v>
      </c>
      <c r="T274" s="556">
        <v>103892.53600000001</v>
      </c>
      <c r="U274" s="553">
        <v>12</v>
      </c>
      <c r="V274" s="556">
        <v>114281.7896</v>
      </c>
      <c r="W274" s="556"/>
      <c r="X274" s="557"/>
      <c r="Y274" s="335" t="s">
        <v>1389</v>
      </c>
    </row>
    <row r="275" spans="2:25" ht="63.75" x14ac:dyDescent="0.25">
      <c r="B275" s="1949"/>
      <c r="C275" s="549"/>
      <c r="D275" s="549"/>
      <c r="E275" s="549"/>
      <c r="F275" s="549"/>
      <c r="G275" s="551" t="s">
        <v>47</v>
      </c>
      <c r="H275" s="551" t="s">
        <v>2616</v>
      </c>
      <c r="I275" s="552" t="s">
        <v>40</v>
      </c>
      <c r="J275" s="569"/>
      <c r="K275" s="553">
        <v>12</v>
      </c>
      <c r="L275" s="553">
        <v>8000</v>
      </c>
      <c r="M275" s="553">
        <v>12</v>
      </c>
      <c r="N275" s="585">
        <v>14390</v>
      </c>
      <c r="O275" s="553">
        <v>12</v>
      </c>
      <c r="P275" s="556">
        <v>15829</v>
      </c>
      <c r="Q275" s="553">
        <v>12</v>
      </c>
      <c r="R275" s="556">
        <v>17411.900000000001</v>
      </c>
      <c r="S275" s="553">
        <v>12</v>
      </c>
      <c r="T275" s="556">
        <v>19153.09</v>
      </c>
      <c r="U275" s="553">
        <v>12</v>
      </c>
      <c r="V275" s="556">
        <v>21068.399000000001</v>
      </c>
      <c r="W275" s="556"/>
      <c r="X275" s="557"/>
      <c r="Y275" s="335" t="s">
        <v>1389</v>
      </c>
    </row>
    <row r="276" spans="2:25" ht="76.5" x14ac:dyDescent="0.25">
      <c r="B276" s="1949"/>
      <c r="C276" s="549"/>
      <c r="D276" s="549"/>
      <c r="E276" s="549"/>
      <c r="F276" s="549"/>
      <c r="G276" s="551" t="s">
        <v>130</v>
      </c>
      <c r="H276" s="551" t="s">
        <v>2617</v>
      </c>
      <c r="I276" s="552" t="s">
        <v>40</v>
      </c>
      <c r="J276" s="569"/>
      <c r="K276" s="553">
        <v>12</v>
      </c>
      <c r="L276" s="553">
        <v>13000</v>
      </c>
      <c r="M276" s="553">
        <v>12</v>
      </c>
      <c r="N276" s="585">
        <v>16300</v>
      </c>
      <c r="O276" s="553">
        <v>12</v>
      </c>
      <c r="P276" s="556">
        <v>17930</v>
      </c>
      <c r="Q276" s="553">
        <v>12</v>
      </c>
      <c r="R276" s="556">
        <v>19723</v>
      </c>
      <c r="S276" s="553">
        <v>12</v>
      </c>
      <c r="T276" s="556">
        <v>21695.3</v>
      </c>
      <c r="U276" s="553">
        <v>12</v>
      </c>
      <c r="V276" s="556">
        <v>23864.829999999998</v>
      </c>
      <c r="W276" s="556"/>
      <c r="X276" s="557"/>
      <c r="Y276" s="335" t="s">
        <v>1389</v>
      </c>
    </row>
    <row r="277" spans="2:25" ht="38.25" x14ac:dyDescent="0.25">
      <c r="B277" s="1949"/>
      <c r="C277" s="549"/>
      <c r="D277" s="549"/>
      <c r="E277" s="549"/>
      <c r="F277" s="549"/>
      <c r="G277" s="551" t="s">
        <v>50</v>
      </c>
      <c r="H277" s="551" t="s">
        <v>2080</v>
      </c>
      <c r="I277" s="552" t="s">
        <v>40</v>
      </c>
      <c r="J277" s="569"/>
      <c r="K277" s="553">
        <v>12</v>
      </c>
      <c r="L277" s="553">
        <v>47000</v>
      </c>
      <c r="M277" s="553">
        <v>12</v>
      </c>
      <c r="N277" s="556">
        <v>51700</v>
      </c>
      <c r="O277" s="553">
        <v>12</v>
      </c>
      <c r="P277" s="556">
        <v>56870</v>
      </c>
      <c r="Q277" s="553">
        <v>12</v>
      </c>
      <c r="R277" s="556">
        <v>62557</v>
      </c>
      <c r="S277" s="553">
        <v>12</v>
      </c>
      <c r="T277" s="556">
        <v>68812.7</v>
      </c>
      <c r="U277" s="553">
        <v>12</v>
      </c>
      <c r="V277" s="556">
        <v>75693.97</v>
      </c>
      <c r="W277" s="556"/>
      <c r="X277" s="557"/>
      <c r="Y277" s="335" t="s">
        <v>1389</v>
      </c>
    </row>
    <row r="278" spans="2:25" ht="63.75" x14ac:dyDescent="0.25">
      <c r="B278" s="1949"/>
      <c r="C278" s="549"/>
      <c r="D278" s="549"/>
      <c r="E278" s="549"/>
      <c r="F278" s="549"/>
      <c r="G278" s="551" t="s">
        <v>52</v>
      </c>
      <c r="H278" s="551" t="s">
        <v>2618</v>
      </c>
      <c r="I278" s="552" t="s">
        <v>40</v>
      </c>
      <c r="J278" s="569"/>
      <c r="K278" s="553">
        <v>12</v>
      </c>
      <c r="L278" s="553">
        <v>11000</v>
      </c>
      <c r="M278" s="553">
        <v>12</v>
      </c>
      <c r="N278" s="585">
        <v>18100</v>
      </c>
      <c r="O278" s="553">
        <v>12</v>
      </c>
      <c r="P278" s="556">
        <v>19910</v>
      </c>
      <c r="Q278" s="553">
        <v>12</v>
      </c>
      <c r="R278" s="556">
        <v>21901</v>
      </c>
      <c r="S278" s="553">
        <v>12</v>
      </c>
      <c r="T278" s="556">
        <v>24091.1</v>
      </c>
      <c r="U278" s="553">
        <v>12</v>
      </c>
      <c r="V278" s="556">
        <v>26500.21</v>
      </c>
      <c r="W278" s="556"/>
      <c r="X278" s="557"/>
      <c r="Y278" s="335" t="s">
        <v>1389</v>
      </c>
    </row>
    <row r="279" spans="2:25" ht="38.25" x14ac:dyDescent="0.25">
      <c r="B279" s="1949"/>
      <c r="C279" s="549"/>
      <c r="D279" s="549"/>
      <c r="E279" s="549"/>
      <c r="F279" s="549"/>
      <c r="G279" s="551" t="s">
        <v>54</v>
      </c>
      <c r="H279" s="551" t="s">
        <v>2619</v>
      </c>
      <c r="I279" s="552" t="s">
        <v>40</v>
      </c>
      <c r="J279" s="569"/>
      <c r="K279" s="553">
        <v>12</v>
      </c>
      <c r="L279" s="553">
        <v>2500</v>
      </c>
      <c r="M279" s="553">
        <v>12</v>
      </c>
      <c r="N279" s="585">
        <v>3750</v>
      </c>
      <c r="O279" s="553">
        <v>12</v>
      </c>
      <c r="P279" s="556">
        <v>4125</v>
      </c>
      <c r="Q279" s="553">
        <v>12</v>
      </c>
      <c r="R279" s="556">
        <v>4537.5</v>
      </c>
      <c r="S279" s="553">
        <v>12</v>
      </c>
      <c r="T279" s="556">
        <v>4991.25</v>
      </c>
      <c r="U279" s="553">
        <v>12</v>
      </c>
      <c r="V279" s="556">
        <v>5490.375</v>
      </c>
      <c r="W279" s="556"/>
      <c r="X279" s="557"/>
      <c r="Y279" s="335" t="s">
        <v>1389</v>
      </c>
    </row>
    <row r="280" spans="2:25" ht="51" x14ac:dyDescent="0.25">
      <c r="B280" s="1949"/>
      <c r="C280" s="549"/>
      <c r="D280" s="549"/>
      <c r="E280" s="549"/>
      <c r="F280" s="549"/>
      <c r="G280" s="551" t="s">
        <v>56</v>
      </c>
      <c r="H280" s="551" t="s">
        <v>2620</v>
      </c>
      <c r="I280" s="552" t="s">
        <v>40</v>
      </c>
      <c r="J280" s="569"/>
      <c r="K280" s="553">
        <v>12</v>
      </c>
      <c r="L280" s="553">
        <v>4000</v>
      </c>
      <c r="M280" s="553">
        <v>12</v>
      </c>
      <c r="N280" s="556">
        <v>4400</v>
      </c>
      <c r="O280" s="553">
        <v>12</v>
      </c>
      <c r="P280" s="556">
        <v>4840</v>
      </c>
      <c r="Q280" s="553">
        <v>12</v>
      </c>
      <c r="R280" s="556">
        <v>5324</v>
      </c>
      <c r="S280" s="553">
        <v>12</v>
      </c>
      <c r="T280" s="556">
        <v>5856.4</v>
      </c>
      <c r="U280" s="553">
        <v>12</v>
      </c>
      <c r="V280" s="556">
        <v>6442.04</v>
      </c>
      <c r="W280" s="556"/>
      <c r="X280" s="557"/>
      <c r="Y280" s="335" t="s">
        <v>1389</v>
      </c>
    </row>
    <row r="281" spans="2:25" ht="63.75" x14ac:dyDescent="0.25">
      <c r="B281" s="1949"/>
      <c r="C281" s="549"/>
      <c r="D281" s="549"/>
      <c r="E281" s="549"/>
      <c r="F281" s="549"/>
      <c r="G281" s="551" t="s">
        <v>58</v>
      </c>
      <c r="H281" s="551" t="s">
        <v>2621</v>
      </c>
      <c r="I281" s="552" t="s">
        <v>40</v>
      </c>
      <c r="J281" s="569"/>
      <c r="K281" s="553">
        <v>12</v>
      </c>
      <c r="L281" s="553">
        <v>70000</v>
      </c>
      <c r="M281" s="553">
        <v>12</v>
      </c>
      <c r="N281" s="556">
        <v>77000</v>
      </c>
      <c r="O281" s="553">
        <v>12</v>
      </c>
      <c r="P281" s="556">
        <v>84700</v>
      </c>
      <c r="Q281" s="553">
        <v>12</v>
      </c>
      <c r="R281" s="556">
        <v>93170</v>
      </c>
      <c r="S281" s="553">
        <v>12</v>
      </c>
      <c r="T281" s="556">
        <v>102487</v>
      </c>
      <c r="U281" s="553">
        <v>12</v>
      </c>
      <c r="V281" s="556">
        <v>112735.7</v>
      </c>
      <c r="W281" s="556"/>
      <c r="X281" s="557"/>
      <c r="Y281" s="335" t="s">
        <v>1389</v>
      </c>
    </row>
    <row r="282" spans="2:25" ht="38.25" x14ac:dyDescent="0.25">
      <c r="B282" s="1949"/>
      <c r="C282" s="549"/>
      <c r="D282" s="549"/>
      <c r="E282" s="549"/>
      <c r="F282" s="549"/>
      <c r="G282" s="551" t="s">
        <v>137</v>
      </c>
      <c r="H282" s="551" t="s">
        <v>2622</v>
      </c>
      <c r="I282" s="552" t="s">
        <v>40</v>
      </c>
      <c r="J282" s="569"/>
      <c r="K282" s="553">
        <v>12</v>
      </c>
      <c r="L282" s="553">
        <v>120000</v>
      </c>
      <c r="M282" s="553">
        <v>12</v>
      </c>
      <c r="N282" s="585">
        <v>180000</v>
      </c>
      <c r="O282" s="553">
        <v>12</v>
      </c>
      <c r="P282" s="556">
        <v>198000</v>
      </c>
      <c r="Q282" s="553">
        <v>12</v>
      </c>
      <c r="R282" s="556">
        <v>217800</v>
      </c>
      <c r="S282" s="553">
        <v>12</v>
      </c>
      <c r="T282" s="556">
        <v>239580</v>
      </c>
      <c r="U282" s="553">
        <v>12</v>
      </c>
      <c r="V282" s="556">
        <v>263538</v>
      </c>
      <c r="W282" s="556"/>
      <c r="X282" s="557"/>
      <c r="Y282" s="335" t="s">
        <v>1389</v>
      </c>
    </row>
    <row r="283" spans="2:25" ht="89.25" x14ac:dyDescent="0.25">
      <c r="B283" s="1949"/>
      <c r="C283" s="549"/>
      <c r="D283" s="549"/>
      <c r="E283" s="549"/>
      <c r="F283" s="549"/>
      <c r="G283" s="551" t="s">
        <v>62</v>
      </c>
      <c r="H283" s="551" t="s">
        <v>2623</v>
      </c>
      <c r="I283" s="552" t="s">
        <v>40</v>
      </c>
      <c r="J283" s="569"/>
      <c r="K283" s="553">
        <v>12</v>
      </c>
      <c r="L283" s="553">
        <v>46150</v>
      </c>
      <c r="M283" s="553">
        <v>0</v>
      </c>
      <c r="N283" s="585">
        <v>0</v>
      </c>
      <c r="O283" s="553">
        <v>0</v>
      </c>
      <c r="P283" s="556">
        <v>0</v>
      </c>
      <c r="Q283" s="553">
        <v>0</v>
      </c>
      <c r="R283" s="556">
        <v>0</v>
      </c>
      <c r="S283" s="553">
        <v>0</v>
      </c>
      <c r="T283" s="556">
        <v>0</v>
      </c>
      <c r="U283" s="553">
        <v>0</v>
      </c>
      <c r="V283" s="556">
        <v>0</v>
      </c>
      <c r="W283" s="556"/>
      <c r="X283" s="557"/>
      <c r="Y283" s="335" t="s">
        <v>1389</v>
      </c>
    </row>
    <row r="284" spans="2:25" ht="76.5" x14ac:dyDescent="0.25">
      <c r="B284" s="1949"/>
      <c r="C284" s="549"/>
      <c r="D284" s="549"/>
      <c r="E284" s="549"/>
      <c r="F284" s="549"/>
      <c r="G284" s="551" t="s">
        <v>139</v>
      </c>
      <c r="H284" s="551" t="s">
        <v>2624</v>
      </c>
      <c r="I284" s="552" t="s">
        <v>40</v>
      </c>
      <c r="J284" s="569"/>
      <c r="K284" s="553">
        <v>12</v>
      </c>
      <c r="L284" s="553">
        <v>95000</v>
      </c>
      <c r="M284" s="553">
        <v>12</v>
      </c>
      <c r="N284" s="585">
        <v>110000</v>
      </c>
      <c r="O284" s="553">
        <v>12</v>
      </c>
      <c r="P284" s="556">
        <v>121000</v>
      </c>
      <c r="Q284" s="553">
        <v>12</v>
      </c>
      <c r="R284" s="556">
        <v>133100</v>
      </c>
      <c r="S284" s="553">
        <v>12</v>
      </c>
      <c r="T284" s="556">
        <v>146410</v>
      </c>
      <c r="U284" s="553">
        <v>12</v>
      </c>
      <c r="V284" s="556">
        <v>161051</v>
      </c>
      <c r="W284" s="556"/>
      <c r="X284" s="557"/>
      <c r="Y284" s="335" t="s">
        <v>1389</v>
      </c>
    </row>
    <row r="285" spans="2:25" ht="48" x14ac:dyDescent="0.25">
      <c r="B285" s="1949"/>
      <c r="C285" s="549"/>
      <c r="D285" s="549"/>
      <c r="E285" s="549"/>
      <c r="F285" s="613"/>
      <c r="G285" s="544" t="s">
        <v>65</v>
      </c>
      <c r="H285" s="540" t="s">
        <v>1495</v>
      </c>
      <c r="I285" s="545" t="s">
        <v>19</v>
      </c>
      <c r="J285" s="579">
        <v>100</v>
      </c>
      <c r="K285" s="625">
        <v>20</v>
      </c>
      <c r="L285" s="623">
        <f>SUM(L286:L309)</f>
        <v>351276</v>
      </c>
      <c r="M285" s="625">
        <v>20</v>
      </c>
      <c r="N285" s="623">
        <f>SUM(N286:N309)</f>
        <v>422213.6</v>
      </c>
      <c r="O285" s="625">
        <v>15</v>
      </c>
      <c r="P285" s="623">
        <f>SUM(P286:P309)</f>
        <v>464434.96</v>
      </c>
      <c r="Q285" s="625">
        <v>15</v>
      </c>
      <c r="R285" s="623">
        <f>SUM(R286:R309)</f>
        <v>510878.45600000001</v>
      </c>
      <c r="S285" s="625">
        <v>15</v>
      </c>
      <c r="T285" s="623">
        <f>SUM(T286:T309)</f>
        <v>561966.30160000012</v>
      </c>
      <c r="U285" s="625">
        <v>15</v>
      </c>
      <c r="V285" s="623">
        <f>SUM(V286:V309)</f>
        <v>618162.93176000006</v>
      </c>
      <c r="W285" s="576">
        <v>100</v>
      </c>
      <c r="X285" s="577"/>
      <c r="Y285" s="335" t="s">
        <v>1389</v>
      </c>
    </row>
    <row r="286" spans="2:25" ht="51" x14ac:dyDescent="0.25">
      <c r="B286" s="1949"/>
      <c r="C286" s="549"/>
      <c r="D286" s="549"/>
      <c r="E286" s="549"/>
      <c r="F286" s="549"/>
      <c r="G286" s="550" t="s">
        <v>144</v>
      </c>
      <c r="H286" s="551" t="s">
        <v>2625</v>
      </c>
      <c r="I286" s="552"/>
      <c r="J286" s="569"/>
      <c r="K286" s="553">
        <v>29</v>
      </c>
      <c r="L286" s="554">
        <v>106500</v>
      </c>
      <c r="M286" s="553">
        <v>12</v>
      </c>
      <c r="N286" s="588">
        <v>94050</v>
      </c>
      <c r="O286" s="553">
        <v>22</v>
      </c>
      <c r="P286" s="555">
        <v>103455</v>
      </c>
      <c r="Q286" s="553">
        <v>5</v>
      </c>
      <c r="R286" s="555">
        <v>113800.5</v>
      </c>
      <c r="S286" s="553">
        <v>4</v>
      </c>
      <c r="T286" s="555">
        <v>125180.55</v>
      </c>
      <c r="U286" s="553">
        <v>2</v>
      </c>
      <c r="V286" s="555">
        <v>137698.60500000001</v>
      </c>
      <c r="W286" s="553"/>
      <c r="X286" s="557"/>
      <c r="Y286" s="335" t="s">
        <v>1389</v>
      </c>
    </row>
    <row r="287" spans="2:25" x14ac:dyDescent="0.25">
      <c r="B287" s="1949"/>
      <c r="C287" s="549"/>
      <c r="D287" s="549"/>
      <c r="E287" s="549"/>
      <c r="F287" s="549"/>
      <c r="G287" s="549"/>
      <c r="H287" s="551" t="s">
        <v>2626</v>
      </c>
      <c r="I287" s="552" t="s">
        <v>646</v>
      </c>
      <c r="J287" s="569"/>
      <c r="K287" s="553">
        <v>1</v>
      </c>
      <c r="L287" s="558"/>
      <c r="M287" s="553"/>
      <c r="N287" s="609"/>
      <c r="O287" s="553"/>
      <c r="P287" s="559"/>
      <c r="Q287" s="553"/>
      <c r="R287" s="559"/>
      <c r="S287" s="553"/>
      <c r="T287" s="559"/>
      <c r="U287" s="553"/>
      <c r="V287" s="559"/>
      <c r="W287" s="556"/>
      <c r="X287" s="557"/>
      <c r="Y287" s="335" t="s">
        <v>1389</v>
      </c>
    </row>
    <row r="288" spans="2:25" ht="25.5" x14ac:dyDescent="0.25">
      <c r="B288" s="1949"/>
      <c r="C288" s="549"/>
      <c r="D288" s="549"/>
      <c r="E288" s="549"/>
      <c r="F288" s="549"/>
      <c r="G288" s="549"/>
      <c r="H288" s="551" t="s">
        <v>2627</v>
      </c>
      <c r="I288" s="552" t="s">
        <v>646</v>
      </c>
      <c r="J288" s="569"/>
      <c r="K288" s="553">
        <v>18</v>
      </c>
      <c r="L288" s="558"/>
      <c r="M288" s="553"/>
      <c r="N288" s="609"/>
      <c r="O288" s="553"/>
      <c r="P288" s="559"/>
      <c r="Q288" s="553"/>
      <c r="R288" s="559"/>
      <c r="S288" s="553"/>
      <c r="T288" s="559"/>
      <c r="U288" s="553"/>
      <c r="V288" s="559"/>
      <c r="W288" s="556"/>
      <c r="X288" s="557"/>
      <c r="Y288" s="335" t="s">
        <v>1389</v>
      </c>
    </row>
    <row r="289" spans="2:25" x14ac:dyDescent="0.25">
      <c r="B289" s="1949"/>
      <c r="C289" s="549"/>
      <c r="D289" s="549"/>
      <c r="E289" s="549"/>
      <c r="F289" s="549"/>
      <c r="G289" s="549"/>
      <c r="H289" s="551" t="s">
        <v>2628</v>
      </c>
      <c r="I289" s="552" t="s">
        <v>646</v>
      </c>
      <c r="J289" s="569"/>
      <c r="K289" s="553">
        <v>4</v>
      </c>
      <c r="L289" s="558"/>
      <c r="M289" s="553">
        <v>4</v>
      </c>
      <c r="N289" s="609"/>
      <c r="O289" s="553"/>
      <c r="P289" s="559"/>
      <c r="Q289" s="553"/>
      <c r="R289" s="559"/>
      <c r="S289" s="553"/>
      <c r="T289" s="559"/>
      <c r="U289" s="553"/>
      <c r="V289" s="559"/>
      <c r="W289" s="556"/>
      <c r="X289" s="557"/>
      <c r="Y289" s="335" t="s">
        <v>1389</v>
      </c>
    </row>
    <row r="290" spans="2:25" x14ac:dyDescent="0.25">
      <c r="B290" s="1949"/>
      <c r="C290" s="549"/>
      <c r="D290" s="549"/>
      <c r="E290" s="549"/>
      <c r="F290" s="549"/>
      <c r="G290" s="549"/>
      <c r="H290" s="551" t="s">
        <v>2629</v>
      </c>
      <c r="I290" s="552" t="s">
        <v>610</v>
      </c>
      <c r="J290" s="569"/>
      <c r="K290" s="553">
        <v>1</v>
      </c>
      <c r="L290" s="558"/>
      <c r="M290" s="553"/>
      <c r="N290" s="609"/>
      <c r="O290" s="553"/>
      <c r="P290" s="559"/>
      <c r="Q290" s="553"/>
      <c r="R290" s="559"/>
      <c r="S290" s="553"/>
      <c r="T290" s="559"/>
      <c r="U290" s="553"/>
      <c r="V290" s="559"/>
      <c r="W290" s="556"/>
      <c r="X290" s="557"/>
      <c r="Y290" s="335" t="s">
        <v>1389</v>
      </c>
    </row>
    <row r="291" spans="2:25" x14ac:dyDescent="0.25">
      <c r="B291" s="1949"/>
      <c r="C291" s="549"/>
      <c r="D291" s="549"/>
      <c r="E291" s="549"/>
      <c r="F291" s="549"/>
      <c r="G291" s="549"/>
      <c r="H291" s="551" t="s">
        <v>2630</v>
      </c>
      <c r="I291" s="552" t="s">
        <v>75</v>
      </c>
      <c r="J291" s="569"/>
      <c r="K291" s="553">
        <v>1</v>
      </c>
      <c r="L291" s="558"/>
      <c r="M291" s="553"/>
      <c r="N291" s="609"/>
      <c r="O291" s="553"/>
      <c r="P291" s="559"/>
      <c r="Q291" s="553"/>
      <c r="R291" s="559"/>
      <c r="S291" s="553">
        <v>1</v>
      </c>
      <c r="T291" s="559"/>
      <c r="U291" s="553"/>
      <c r="V291" s="559"/>
      <c r="W291" s="556"/>
      <c r="X291" s="557"/>
      <c r="Y291" s="335" t="s">
        <v>1389</v>
      </c>
    </row>
    <row r="292" spans="2:25" x14ac:dyDescent="0.25">
      <c r="B292" s="1949"/>
      <c r="C292" s="549"/>
      <c r="D292" s="549"/>
      <c r="E292" s="549"/>
      <c r="F292" s="549"/>
      <c r="G292" s="549"/>
      <c r="H292" s="551" t="s">
        <v>2631</v>
      </c>
      <c r="I292" s="552" t="s">
        <v>2592</v>
      </c>
      <c r="J292" s="569"/>
      <c r="K292" s="553">
        <v>1</v>
      </c>
      <c r="L292" s="558"/>
      <c r="M292" s="553">
        <v>1</v>
      </c>
      <c r="N292" s="609"/>
      <c r="O292" s="553">
        <v>1</v>
      </c>
      <c r="P292" s="559"/>
      <c r="Q292" s="553"/>
      <c r="R292" s="559"/>
      <c r="S292" s="553"/>
      <c r="T292" s="559"/>
      <c r="U292" s="553"/>
      <c r="V292" s="559"/>
      <c r="W292" s="556"/>
      <c r="X292" s="557"/>
      <c r="Y292" s="335" t="s">
        <v>1389</v>
      </c>
    </row>
    <row r="293" spans="2:25" ht="38.25" x14ac:dyDescent="0.25">
      <c r="B293" s="1949"/>
      <c r="C293" s="549"/>
      <c r="D293" s="549"/>
      <c r="E293" s="549"/>
      <c r="F293" s="549"/>
      <c r="G293" s="549"/>
      <c r="H293" s="551" t="s">
        <v>2632</v>
      </c>
      <c r="I293" s="552" t="s">
        <v>2592</v>
      </c>
      <c r="J293" s="569"/>
      <c r="K293" s="553">
        <v>3</v>
      </c>
      <c r="L293" s="558"/>
      <c r="M293" s="553">
        <v>2</v>
      </c>
      <c r="N293" s="609"/>
      <c r="O293" s="553">
        <v>2</v>
      </c>
      <c r="P293" s="559"/>
      <c r="Q293" s="553">
        <v>2</v>
      </c>
      <c r="R293" s="559"/>
      <c r="S293" s="553"/>
      <c r="T293" s="559"/>
      <c r="U293" s="553"/>
      <c r="V293" s="559"/>
      <c r="W293" s="556"/>
      <c r="X293" s="557"/>
      <c r="Y293" s="335" t="s">
        <v>1389</v>
      </c>
    </row>
    <row r="294" spans="2:25" ht="25.5" x14ac:dyDescent="0.25">
      <c r="B294" s="1949"/>
      <c r="C294" s="549"/>
      <c r="D294" s="549"/>
      <c r="E294" s="549"/>
      <c r="F294" s="549"/>
      <c r="G294" s="549"/>
      <c r="H294" s="551" t="s">
        <v>2633</v>
      </c>
      <c r="I294" s="552" t="s">
        <v>251</v>
      </c>
      <c r="J294" s="569"/>
      <c r="K294" s="553"/>
      <c r="L294" s="558"/>
      <c r="M294" s="553">
        <v>1</v>
      </c>
      <c r="N294" s="609"/>
      <c r="O294" s="553">
        <v>1</v>
      </c>
      <c r="P294" s="559"/>
      <c r="Q294" s="553"/>
      <c r="R294" s="559"/>
      <c r="S294" s="553"/>
      <c r="T294" s="559"/>
      <c r="U294" s="553"/>
      <c r="V294" s="559"/>
      <c r="W294" s="556"/>
      <c r="X294" s="557"/>
      <c r="Y294" s="335" t="s">
        <v>1389</v>
      </c>
    </row>
    <row r="295" spans="2:25" x14ac:dyDescent="0.25">
      <c r="B295" s="1949"/>
      <c r="C295" s="549"/>
      <c r="D295" s="549"/>
      <c r="E295" s="549"/>
      <c r="F295" s="549"/>
      <c r="G295" s="549"/>
      <c r="H295" s="563" t="s">
        <v>2634</v>
      </c>
      <c r="I295" s="626" t="s">
        <v>251</v>
      </c>
      <c r="J295" s="627"/>
      <c r="K295" s="563"/>
      <c r="L295" s="558"/>
      <c r="M295" s="553">
        <v>4</v>
      </c>
      <c r="N295" s="609"/>
      <c r="O295" s="553">
        <v>6</v>
      </c>
      <c r="P295" s="559"/>
      <c r="Q295" s="553"/>
      <c r="R295" s="559"/>
      <c r="S295" s="553"/>
      <c r="T295" s="559"/>
      <c r="U295" s="553"/>
      <c r="V295" s="559"/>
      <c r="W295" s="556"/>
      <c r="X295" s="557"/>
      <c r="Y295" s="335" t="s">
        <v>1389</v>
      </c>
    </row>
    <row r="296" spans="2:25" x14ac:dyDescent="0.25">
      <c r="B296" s="1949"/>
      <c r="C296" s="549"/>
      <c r="D296" s="549"/>
      <c r="E296" s="549"/>
      <c r="F296" s="549"/>
      <c r="G296" s="538"/>
      <c r="H296" s="563" t="s">
        <v>2635</v>
      </c>
      <c r="I296" s="626" t="s">
        <v>610</v>
      </c>
      <c r="J296" s="627"/>
      <c r="K296" s="563"/>
      <c r="L296" s="558"/>
      <c r="M296" s="553"/>
      <c r="N296" s="609"/>
      <c r="O296" s="553">
        <v>10</v>
      </c>
      <c r="P296" s="628"/>
      <c r="Q296" s="553"/>
      <c r="R296" s="628"/>
      <c r="S296" s="553"/>
      <c r="T296" s="628"/>
      <c r="U296" s="553"/>
      <c r="V296" s="628"/>
      <c r="W296" s="556"/>
      <c r="X296" s="548"/>
      <c r="Y296" s="335" t="s">
        <v>1389</v>
      </c>
    </row>
    <row r="297" spans="2:25" x14ac:dyDescent="0.25">
      <c r="B297" s="1949"/>
      <c r="C297" s="549"/>
      <c r="D297" s="549"/>
      <c r="E297" s="549"/>
      <c r="F297" s="549"/>
      <c r="G297" s="538"/>
      <c r="H297" s="563" t="s">
        <v>2636</v>
      </c>
      <c r="I297" s="626" t="s">
        <v>646</v>
      </c>
      <c r="J297" s="627"/>
      <c r="K297" s="563"/>
      <c r="L297" s="558"/>
      <c r="M297" s="553"/>
      <c r="N297" s="609"/>
      <c r="O297" s="553">
        <v>1</v>
      </c>
      <c r="P297" s="628"/>
      <c r="Q297" s="553">
        <v>2</v>
      </c>
      <c r="R297" s="628"/>
      <c r="S297" s="553">
        <v>2</v>
      </c>
      <c r="T297" s="628"/>
      <c r="U297" s="553"/>
      <c r="V297" s="628"/>
      <c r="W297" s="556"/>
      <c r="X297" s="548"/>
      <c r="Y297" s="335" t="s">
        <v>1389</v>
      </c>
    </row>
    <row r="298" spans="2:25" x14ac:dyDescent="0.25">
      <c r="B298" s="1949"/>
      <c r="C298" s="549"/>
      <c r="D298" s="549"/>
      <c r="E298" s="549"/>
      <c r="F298" s="549"/>
      <c r="G298" s="538"/>
      <c r="H298" s="563" t="s">
        <v>2637</v>
      </c>
      <c r="I298" s="626"/>
      <c r="J298" s="627"/>
      <c r="K298" s="563"/>
      <c r="L298" s="564"/>
      <c r="M298" s="553"/>
      <c r="N298" s="591"/>
      <c r="O298" s="553">
        <v>1</v>
      </c>
      <c r="P298" s="628"/>
      <c r="Q298" s="553">
        <v>1</v>
      </c>
      <c r="R298" s="628"/>
      <c r="S298" s="553">
        <v>1</v>
      </c>
      <c r="T298" s="628"/>
      <c r="U298" s="553">
        <v>2</v>
      </c>
      <c r="V298" s="628"/>
      <c r="W298" s="556"/>
      <c r="X298" s="548"/>
      <c r="Y298" s="335" t="s">
        <v>1389</v>
      </c>
    </row>
    <row r="299" spans="2:25" ht="63.75" x14ac:dyDescent="0.25">
      <c r="B299" s="1949"/>
      <c r="C299" s="549"/>
      <c r="D299" s="549"/>
      <c r="E299" s="549"/>
      <c r="F299" s="549"/>
      <c r="G299" s="550" t="s">
        <v>149</v>
      </c>
      <c r="H299" s="551" t="s">
        <v>2638</v>
      </c>
      <c r="I299" s="552" t="s">
        <v>251</v>
      </c>
      <c r="J299" s="569"/>
      <c r="K299" s="553">
        <v>4</v>
      </c>
      <c r="L299" s="554">
        <v>24500</v>
      </c>
      <c r="M299" s="553">
        <v>18</v>
      </c>
      <c r="N299" s="588">
        <v>85860</v>
      </c>
      <c r="O299" s="553">
        <v>12</v>
      </c>
      <c r="P299" s="555">
        <v>94446</v>
      </c>
      <c r="Q299" s="553">
        <v>13</v>
      </c>
      <c r="R299" s="555">
        <v>103890.6</v>
      </c>
      <c r="S299" s="553">
        <v>12</v>
      </c>
      <c r="T299" s="555">
        <v>114279.66</v>
      </c>
      <c r="U299" s="553">
        <v>12</v>
      </c>
      <c r="V299" s="555">
        <v>125707.626</v>
      </c>
      <c r="W299" s="556"/>
      <c r="X299" s="548"/>
      <c r="Y299" s="335" t="s">
        <v>1389</v>
      </c>
    </row>
    <row r="300" spans="2:25" x14ac:dyDescent="0.25">
      <c r="B300" s="1949"/>
      <c r="C300" s="549"/>
      <c r="D300" s="549"/>
      <c r="E300" s="549"/>
      <c r="F300" s="549"/>
      <c r="G300" s="549"/>
      <c r="H300" s="551" t="s">
        <v>941</v>
      </c>
      <c r="I300" s="552" t="s">
        <v>251</v>
      </c>
      <c r="J300" s="569"/>
      <c r="K300" s="553">
        <v>3</v>
      </c>
      <c r="L300" s="558"/>
      <c r="M300" s="553">
        <v>4</v>
      </c>
      <c r="N300" s="609"/>
      <c r="O300" s="553">
        <v>6</v>
      </c>
      <c r="P300" s="559"/>
      <c r="Q300" s="553">
        <v>6</v>
      </c>
      <c r="R300" s="559"/>
      <c r="S300" s="553">
        <v>6</v>
      </c>
      <c r="T300" s="559"/>
      <c r="U300" s="553">
        <v>6</v>
      </c>
      <c r="V300" s="559"/>
      <c r="W300" s="556"/>
      <c r="X300" s="572"/>
      <c r="Y300" s="335" t="s">
        <v>1389</v>
      </c>
    </row>
    <row r="301" spans="2:25" x14ac:dyDescent="0.25">
      <c r="B301" s="1949"/>
      <c r="C301" s="549"/>
      <c r="D301" s="549"/>
      <c r="E301" s="549"/>
      <c r="F301" s="549"/>
      <c r="G301" s="549"/>
      <c r="H301" s="551" t="s">
        <v>2639</v>
      </c>
      <c r="I301" s="552" t="s">
        <v>251</v>
      </c>
      <c r="J301" s="569"/>
      <c r="K301" s="553">
        <v>1</v>
      </c>
      <c r="L301" s="558"/>
      <c r="M301" s="553">
        <v>12</v>
      </c>
      <c r="N301" s="609"/>
      <c r="O301" s="553"/>
      <c r="P301" s="559"/>
      <c r="Q301" s="553">
        <v>6</v>
      </c>
      <c r="R301" s="559"/>
      <c r="S301" s="553">
        <v>6</v>
      </c>
      <c r="T301" s="559"/>
      <c r="U301" s="553">
        <v>6</v>
      </c>
      <c r="V301" s="559"/>
      <c r="W301" s="556"/>
      <c r="X301" s="572"/>
      <c r="Y301" s="335" t="s">
        <v>1389</v>
      </c>
    </row>
    <row r="302" spans="2:25" ht="25.5" x14ac:dyDescent="0.25">
      <c r="B302" s="1949"/>
      <c r="C302" s="549"/>
      <c r="D302" s="549"/>
      <c r="E302" s="549"/>
      <c r="F302" s="549"/>
      <c r="G302" s="549"/>
      <c r="H302" s="551" t="s">
        <v>2640</v>
      </c>
      <c r="I302" s="552" t="s">
        <v>251</v>
      </c>
      <c r="J302" s="569"/>
      <c r="K302" s="553"/>
      <c r="L302" s="558"/>
      <c r="M302" s="553">
        <v>1</v>
      </c>
      <c r="N302" s="609"/>
      <c r="O302" s="553"/>
      <c r="P302" s="559"/>
      <c r="Q302" s="553"/>
      <c r="R302" s="559"/>
      <c r="S302" s="553"/>
      <c r="T302" s="559"/>
      <c r="U302" s="553"/>
      <c r="V302" s="559"/>
      <c r="W302" s="556"/>
      <c r="X302" s="572"/>
      <c r="Y302" s="335" t="s">
        <v>1389</v>
      </c>
    </row>
    <row r="303" spans="2:25" x14ac:dyDescent="0.25">
      <c r="B303" s="1949"/>
      <c r="C303" s="549"/>
      <c r="D303" s="549"/>
      <c r="E303" s="549"/>
      <c r="F303" s="549"/>
      <c r="G303" s="538"/>
      <c r="H303" s="551" t="s">
        <v>2641</v>
      </c>
      <c r="I303" s="552" t="s">
        <v>251</v>
      </c>
      <c r="J303" s="569"/>
      <c r="K303" s="553"/>
      <c r="L303" s="629"/>
      <c r="M303" s="553">
        <v>1</v>
      </c>
      <c r="N303" s="609"/>
      <c r="O303" s="553"/>
      <c r="P303" s="628"/>
      <c r="Q303" s="553"/>
      <c r="R303" s="628"/>
      <c r="S303" s="553"/>
      <c r="T303" s="628"/>
      <c r="U303" s="553"/>
      <c r="V303" s="628"/>
      <c r="W303" s="556"/>
      <c r="X303" s="572"/>
      <c r="Y303" s="335" t="s">
        <v>1389</v>
      </c>
    </row>
    <row r="304" spans="2:25" x14ac:dyDescent="0.25">
      <c r="B304" s="1949"/>
      <c r="C304" s="549"/>
      <c r="D304" s="549"/>
      <c r="E304" s="549"/>
      <c r="F304" s="549"/>
      <c r="G304" s="538"/>
      <c r="H304" s="551" t="s">
        <v>2642</v>
      </c>
      <c r="I304" s="552" t="s">
        <v>251</v>
      </c>
      <c r="J304" s="569"/>
      <c r="K304" s="553"/>
      <c r="L304" s="629"/>
      <c r="M304" s="553"/>
      <c r="N304" s="609"/>
      <c r="O304" s="553">
        <v>2</v>
      </c>
      <c r="P304" s="628"/>
      <c r="Q304" s="553"/>
      <c r="R304" s="628"/>
      <c r="S304" s="553"/>
      <c r="T304" s="628"/>
      <c r="U304" s="553"/>
      <c r="V304" s="628"/>
      <c r="W304" s="556"/>
      <c r="X304" s="572"/>
      <c r="Y304" s="335" t="s">
        <v>1389</v>
      </c>
    </row>
    <row r="305" spans="2:25" x14ac:dyDescent="0.25">
      <c r="B305" s="1949"/>
      <c r="C305" s="549"/>
      <c r="D305" s="549"/>
      <c r="E305" s="549"/>
      <c r="F305" s="549"/>
      <c r="G305" s="538"/>
      <c r="H305" s="551" t="s">
        <v>2643</v>
      </c>
      <c r="I305" s="552" t="s">
        <v>251</v>
      </c>
      <c r="J305" s="569"/>
      <c r="K305" s="553"/>
      <c r="L305" s="629"/>
      <c r="M305" s="553"/>
      <c r="N305" s="609"/>
      <c r="O305" s="553">
        <v>4</v>
      </c>
      <c r="P305" s="628"/>
      <c r="Q305" s="553"/>
      <c r="R305" s="628"/>
      <c r="S305" s="553"/>
      <c r="T305" s="628"/>
      <c r="U305" s="553"/>
      <c r="V305" s="628"/>
      <c r="W305" s="556"/>
      <c r="X305" s="572"/>
      <c r="Y305" s="335" t="s">
        <v>1389</v>
      </c>
    </row>
    <row r="306" spans="2:25" x14ac:dyDescent="0.25">
      <c r="B306" s="1949"/>
      <c r="C306" s="549"/>
      <c r="D306" s="549"/>
      <c r="E306" s="549"/>
      <c r="F306" s="549"/>
      <c r="G306" s="538"/>
      <c r="H306" s="551" t="s">
        <v>2644</v>
      </c>
      <c r="I306" s="552" t="s">
        <v>251</v>
      </c>
      <c r="J306" s="569"/>
      <c r="K306" s="553"/>
      <c r="L306" s="629"/>
      <c r="M306" s="553"/>
      <c r="N306" s="609"/>
      <c r="O306" s="553"/>
      <c r="P306" s="628"/>
      <c r="Q306" s="553">
        <v>1</v>
      </c>
      <c r="R306" s="628"/>
      <c r="S306" s="553"/>
      <c r="T306" s="628"/>
      <c r="U306" s="553"/>
      <c r="V306" s="628"/>
      <c r="W306" s="556"/>
      <c r="X306" s="572"/>
      <c r="Y306" s="335" t="s">
        <v>1389</v>
      </c>
    </row>
    <row r="307" spans="2:25" ht="63.75" x14ac:dyDescent="0.25">
      <c r="B307" s="1949"/>
      <c r="C307" s="549"/>
      <c r="D307" s="549"/>
      <c r="E307" s="549"/>
      <c r="F307" s="549"/>
      <c r="G307" s="550" t="s">
        <v>164</v>
      </c>
      <c r="H307" s="561" t="s">
        <v>2645</v>
      </c>
      <c r="I307" s="626" t="s">
        <v>75</v>
      </c>
      <c r="J307" s="569"/>
      <c r="K307" s="553">
        <v>14</v>
      </c>
      <c r="L307" s="554">
        <v>220276</v>
      </c>
      <c r="M307" s="553">
        <v>14</v>
      </c>
      <c r="N307" s="555">
        <v>242303.6</v>
      </c>
      <c r="O307" s="553">
        <v>14</v>
      </c>
      <c r="P307" s="555">
        <v>266533.96000000002</v>
      </c>
      <c r="Q307" s="553">
        <v>14</v>
      </c>
      <c r="R307" s="555">
        <v>293187.35600000003</v>
      </c>
      <c r="S307" s="553">
        <v>14</v>
      </c>
      <c r="T307" s="555">
        <v>322506.09160000004</v>
      </c>
      <c r="U307" s="553">
        <v>14</v>
      </c>
      <c r="V307" s="555">
        <v>354756.70076000004</v>
      </c>
      <c r="W307" s="556"/>
      <c r="X307" s="548"/>
      <c r="Y307" s="335" t="s">
        <v>1389</v>
      </c>
    </row>
    <row r="308" spans="2:25" ht="38.25" x14ac:dyDescent="0.25">
      <c r="B308" s="1949"/>
      <c r="C308" s="549"/>
      <c r="D308" s="549"/>
      <c r="E308" s="549"/>
      <c r="F308" s="549"/>
      <c r="G308" s="549"/>
      <c r="H308" s="561" t="s">
        <v>2646</v>
      </c>
      <c r="I308" s="626" t="s">
        <v>251</v>
      </c>
      <c r="J308" s="569"/>
      <c r="K308" s="553">
        <v>4</v>
      </c>
      <c r="L308" s="558"/>
      <c r="M308" s="553">
        <v>4</v>
      </c>
      <c r="N308" s="559"/>
      <c r="O308" s="553">
        <v>4</v>
      </c>
      <c r="P308" s="559"/>
      <c r="Q308" s="553">
        <v>4</v>
      </c>
      <c r="R308" s="559"/>
      <c r="S308" s="553">
        <v>4</v>
      </c>
      <c r="T308" s="559"/>
      <c r="U308" s="553">
        <v>4</v>
      </c>
      <c r="V308" s="559"/>
      <c r="W308" s="556"/>
      <c r="X308" s="572"/>
      <c r="Y308" s="335" t="s">
        <v>1389</v>
      </c>
    </row>
    <row r="309" spans="2:25" ht="25.5" x14ac:dyDescent="0.25">
      <c r="B309" s="1949"/>
      <c r="C309" s="549"/>
      <c r="D309" s="549"/>
      <c r="E309" s="549"/>
      <c r="F309" s="549"/>
      <c r="G309" s="560"/>
      <c r="H309" s="561" t="s">
        <v>2647</v>
      </c>
      <c r="I309" s="552" t="s">
        <v>251</v>
      </c>
      <c r="J309" s="569"/>
      <c r="K309" s="553">
        <v>10</v>
      </c>
      <c r="L309" s="564"/>
      <c r="M309" s="553">
        <v>10</v>
      </c>
      <c r="N309" s="566"/>
      <c r="O309" s="553">
        <v>10</v>
      </c>
      <c r="P309" s="566"/>
      <c r="Q309" s="553">
        <v>10</v>
      </c>
      <c r="R309" s="566"/>
      <c r="S309" s="553">
        <v>10</v>
      </c>
      <c r="T309" s="566"/>
      <c r="U309" s="553">
        <v>10</v>
      </c>
      <c r="V309" s="566"/>
      <c r="W309" s="556"/>
      <c r="X309" s="573"/>
      <c r="Y309" s="335" t="s">
        <v>1389</v>
      </c>
    </row>
    <row r="310" spans="2:25" ht="72" x14ac:dyDescent="0.25">
      <c r="B310" s="1949"/>
      <c r="C310" s="549"/>
      <c r="D310" s="549"/>
      <c r="E310" s="549"/>
      <c r="F310" s="613"/>
      <c r="G310" s="544" t="s">
        <v>1504</v>
      </c>
      <c r="H310" s="540" t="s">
        <v>78</v>
      </c>
      <c r="I310" s="545" t="s">
        <v>79</v>
      </c>
      <c r="J310" s="597">
        <v>25</v>
      </c>
      <c r="K310" s="625">
        <v>9</v>
      </c>
      <c r="L310" s="623">
        <f>SUM(L311)</f>
        <v>100000</v>
      </c>
      <c r="M310" s="625">
        <v>8</v>
      </c>
      <c r="N310" s="623">
        <f>SUM(N311)</f>
        <v>100000</v>
      </c>
      <c r="O310" s="625">
        <v>8</v>
      </c>
      <c r="P310" s="623">
        <f>SUM(P311)</f>
        <v>110000</v>
      </c>
      <c r="Q310" s="625">
        <v>8</v>
      </c>
      <c r="R310" s="623">
        <f>SUM(R311)</f>
        <v>121000</v>
      </c>
      <c r="S310" s="625">
        <v>8</v>
      </c>
      <c r="T310" s="623">
        <f>SUM(T311)</f>
        <v>133100</v>
      </c>
      <c r="U310" s="625">
        <v>8</v>
      </c>
      <c r="V310" s="623">
        <f>SUM(V311)</f>
        <v>146410</v>
      </c>
      <c r="W310" s="576">
        <f>U310+S310+Q310+O310+M310+K310</f>
        <v>49</v>
      </c>
      <c r="X310" s="577"/>
      <c r="Y310" s="335" t="s">
        <v>1389</v>
      </c>
    </row>
    <row r="311" spans="2:25" ht="140.25" x14ac:dyDescent="0.25">
      <c r="B311" s="1949"/>
      <c r="C311" s="549"/>
      <c r="D311" s="549"/>
      <c r="E311" s="549"/>
      <c r="F311" s="549"/>
      <c r="G311" s="551" t="s">
        <v>80</v>
      </c>
      <c r="H311" s="561" t="s">
        <v>2648</v>
      </c>
      <c r="I311" s="552" t="s">
        <v>257</v>
      </c>
      <c r="J311" s="569"/>
      <c r="K311" s="553">
        <v>9</v>
      </c>
      <c r="L311" s="553">
        <v>100000</v>
      </c>
      <c r="M311" s="553">
        <v>8</v>
      </c>
      <c r="N311" s="585">
        <v>100000</v>
      </c>
      <c r="O311" s="553">
        <v>8</v>
      </c>
      <c r="P311" s="556">
        <v>110000</v>
      </c>
      <c r="Q311" s="553">
        <v>8</v>
      </c>
      <c r="R311" s="556">
        <v>121000</v>
      </c>
      <c r="S311" s="553">
        <v>8</v>
      </c>
      <c r="T311" s="556">
        <v>133100</v>
      </c>
      <c r="U311" s="553">
        <v>9</v>
      </c>
      <c r="V311" s="556">
        <v>146410</v>
      </c>
      <c r="W311" s="556"/>
      <c r="X311" s="557"/>
      <c r="Y311" s="335" t="s">
        <v>1389</v>
      </c>
    </row>
    <row r="312" spans="2:25" ht="48" x14ac:dyDescent="0.25">
      <c r="B312" s="1949"/>
      <c r="C312" s="549"/>
      <c r="D312" s="549"/>
      <c r="E312" s="549"/>
      <c r="F312" s="613"/>
      <c r="G312" s="544" t="s">
        <v>1513</v>
      </c>
      <c r="H312" s="544" t="s">
        <v>3163</v>
      </c>
      <c r="I312" s="545" t="s">
        <v>79</v>
      </c>
      <c r="J312" s="623">
        <v>0</v>
      </c>
      <c r="K312" s="630">
        <v>1</v>
      </c>
      <c r="L312" s="623">
        <f>SUM(L313)</f>
        <v>100000</v>
      </c>
      <c r="M312" s="630">
        <v>1</v>
      </c>
      <c r="N312" s="623">
        <f>SUM(N313)</f>
        <v>100000</v>
      </c>
      <c r="O312" s="630">
        <v>1</v>
      </c>
      <c r="P312" s="623">
        <f>SUM(P313)</f>
        <v>110000</v>
      </c>
      <c r="Q312" s="630">
        <v>1</v>
      </c>
      <c r="R312" s="623">
        <f>SUM(R313)</f>
        <v>121000</v>
      </c>
      <c r="S312" s="630">
        <v>1</v>
      </c>
      <c r="T312" s="623">
        <f>SUM(T313)</f>
        <v>133100</v>
      </c>
      <c r="U312" s="630">
        <v>1</v>
      </c>
      <c r="V312" s="623">
        <f>SUM(V313)</f>
        <v>146410</v>
      </c>
      <c r="W312" s="576">
        <v>6</v>
      </c>
      <c r="X312" s="577"/>
      <c r="Y312" s="335" t="s">
        <v>1389</v>
      </c>
    </row>
    <row r="313" spans="2:25" ht="51" x14ac:dyDescent="0.25">
      <c r="B313" s="1949"/>
      <c r="C313" s="549"/>
      <c r="D313" s="549"/>
      <c r="E313" s="549"/>
      <c r="F313" s="549"/>
      <c r="G313" s="551" t="s">
        <v>169</v>
      </c>
      <c r="H313" s="551" t="s">
        <v>2649</v>
      </c>
      <c r="I313" s="552" t="s">
        <v>79</v>
      </c>
      <c r="J313" s="569"/>
      <c r="K313" s="569">
        <v>1</v>
      </c>
      <c r="L313" s="631">
        <v>100000</v>
      </c>
      <c r="M313" s="603">
        <v>1</v>
      </c>
      <c r="N313" s="585">
        <v>100000</v>
      </c>
      <c r="O313" s="585">
        <v>1</v>
      </c>
      <c r="P313" s="556">
        <v>110000</v>
      </c>
      <c r="Q313" s="585">
        <v>1</v>
      </c>
      <c r="R313" s="556">
        <v>121000</v>
      </c>
      <c r="S313" s="585">
        <v>1</v>
      </c>
      <c r="T313" s="556">
        <v>133100</v>
      </c>
      <c r="U313" s="585">
        <v>1</v>
      </c>
      <c r="V313" s="556">
        <v>146410</v>
      </c>
      <c r="W313" s="556"/>
      <c r="X313" s="557"/>
      <c r="Y313" s="335" t="s">
        <v>1389</v>
      </c>
    </row>
    <row r="314" spans="2:25" ht="48" x14ac:dyDescent="0.25">
      <c r="B314" s="1949"/>
      <c r="C314" s="549"/>
      <c r="D314" s="549"/>
      <c r="E314" s="549"/>
      <c r="F314" s="613"/>
      <c r="G314" s="544" t="s">
        <v>1516</v>
      </c>
      <c r="H314" s="544" t="s">
        <v>3177</v>
      </c>
      <c r="I314" s="545" t="s">
        <v>79</v>
      </c>
      <c r="J314" s="597">
        <v>0</v>
      </c>
      <c r="K314" s="632">
        <v>1</v>
      </c>
      <c r="L314" s="633">
        <f>SUM(L315)</f>
        <v>100000</v>
      </c>
      <c r="M314" s="632">
        <v>0</v>
      </c>
      <c r="N314" s="633">
        <f>SUM(N315)</f>
        <v>0</v>
      </c>
      <c r="O314" s="632">
        <v>0</v>
      </c>
      <c r="P314" s="633">
        <f>SUM(P315)</f>
        <v>0</v>
      </c>
      <c r="Q314" s="632">
        <v>0</v>
      </c>
      <c r="R314" s="633">
        <f>SUM(R315)</f>
        <v>0</v>
      </c>
      <c r="S314" s="632">
        <v>0</v>
      </c>
      <c r="T314" s="633">
        <f>SUM(T315)</f>
        <v>0</v>
      </c>
      <c r="U314" s="632">
        <v>0</v>
      </c>
      <c r="V314" s="633">
        <f>SUM(V315)</f>
        <v>0</v>
      </c>
      <c r="W314" s="576">
        <v>1</v>
      </c>
      <c r="X314" s="577"/>
      <c r="Y314" s="335" t="s">
        <v>1389</v>
      </c>
    </row>
    <row r="315" spans="2:25" ht="89.25" x14ac:dyDescent="0.25">
      <c r="B315" s="1950"/>
      <c r="C315" s="560"/>
      <c r="D315" s="560"/>
      <c r="E315" s="560"/>
      <c r="F315" s="560"/>
      <c r="G315" s="551" t="s">
        <v>649</v>
      </c>
      <c r="H315" s="551" t="s">
        <v>2650</v>
      </c>
      <c r="I315" s="552" t="s">
        <v>79</v>
      </c>
      <c r="J315" s="569"/>
      <c r="K315" s="603">
        <v>1</v>
      </c>
      <c r="L315" s="631">
        <v>100000</v>
      </c>
      <c r="M315" s="603">
        <v>0</v>
      </c>
      <c r="N315" s="631">
        <v>0</v>
      </c>
      <c r="O315" s="603">
        <v>0</v>
      </c>
      <c r="P315" s="631">
        <v>0</v>
      </c>
      <c r="Q315" s="603">
        <v>0</v>
      </c>
      <c r="R315" s="631">
        <v>0</v>
      </c>
      <c r="S315" s="603">
        <v>0</v>
      </c>
      <c r="T315" s="631">
        <v>0</v>
      </c>
      <c r="U315" s="603">
        <v>0</v>
      </c>
      <c r="V315" s="631">
        <v>0</v>
      </c>
      <c r="W315" s="556"/>
      <c r="X315" s="557"/>
      <c r="Y315" s="335" t="s">
        <v>1389</v>
      </c>
    </row>
    <row r="316" spans="2:25" ht="26.25" thickBot="1" x14ac:dyDescent="0.3">
      <c r="B316" s="634"/>
      <c r="C316" s="635" t="s">
        <v>2651</v>
      </c>
      <c r="D316" s="636"/>
      <c r="E316" s="636"/>
      <c r="F316" s="636"/>
      <c r="G316" s="637"/>
      <c r="H316" s="638"/>
      <c r="I316" s="639"/>
      <c r="J316" s="640"/>
      <c r="K316" s="641"/>
      <c r="L316" s="642">
        <f>SUM(L204:L315)/2</f>
        <v>24881266</v>
      </c>
      <c r="M316" s="641"/>
      <c r="N316" s="642">
        <f>SUM(N204:N315)/2</f>
        <v>34769705.599999994</v>
      </c>
      <c r="O316" s="643"/>
      <c r="P316" s="642">
        <f>SUM(P204:P315)/2</f>
        <v>61154788.159999989</v>
      </c>
      <c r="Q316" s="643"/>
      <c r="R316" s="642">
        <f>SUM(R204:R315)/2</f>
        <v>61365857.976000004</v>
      </c>
      <c r="S316" s="643"/>
      <c r="T316" s="642">
        <f>SUM(T204:T315)/2</f>
        <v>64585774.513599999</v>
      </c>
      <c r="U316" s="643"/>
      <c r="V316" s="642">
        <f>SUM(V204:V315)/2</f>
        <v>71044351.964960009</v>
      </c>
      <c r="W316" s="644"/>
      <c r="X316" s="645"/>
      <c r="Y316" s="645"/>
    </row>
    <row r="317" spans="2:25" ht="13.5" thickTop="1" x14ac:dyDescent="0.25">
      <c r="L317" s="534"/>
    </row>
    <row r="318" spans="2:25" ht="13.5" thickBot="1" x14ac:dyDescent="0.3">
      <c r="B318" s="532" t="s">
        <v>1408</v>
      </c>
      <c r="E318" s="246"/>
      <c r="F318" s="246"/>
      <c r="G318" s="246"/>
    </row>
    <row r="319" spans="2:25" s="219" customFormat="1" thickTop="1" x14ac:dyDescent="0.2">
      <c r="B319" s="1932" t="s">
        <v>1</v>
      </c>
      <c r="C319" s="1934" t="s">
        <v>2</v>
      </c>
      <c r="D319" s="1934" t="s">
        <v>3</v>
      </c>
      <c r="E319" s="1934" t="s">
        <v>4</v>
      </c>
      <c r="F319" s="1934" t="s">
        <v>5</v>
      </c>
      <c r="G319" s="1934" t="s">
        <v>6</v>
      </c>
      <c r="H319" s="1934" t="s">
        <v>1854</v>
      </c>
      <c r="I319" s="1934" t="s">
        <v>31</v>
      </c>
      <c r="J319" s="1936" t="s">
        <v>1855</v>
      </c>
      <c r="K319" s="1934" t="s">
        <v>7</v>
      </c>
      <c r="L319" s="1934"/>
      <c r="M319" s="1934"/>
      <c r="N319" s="1934"/>
      <c r="O319" s="1934"/>
      <c r="P319" s="1934"/>
      <c r="Q319" s="1934"/>
      <c r="R319" s="1934"/>
      <c r="S319" s="1934"/>
      <c r="T319" s="1934"/>
      <c r="U319" s="1934"/>
      <c r="V319" s="1934"/>
      <c r="W319" s="1934"/>
      <c r="X319" s="1934" t="s">
        <v>8</v>
      </c>
      <c r="Y319" s="1938" t="s">
        <v>1856</v>
      </c>
    </row>
    <row r="320" spans="2:25" s="219" customFormat="1" ht="12" x14ac:dyDescent="0.2">
      <c r="B320" s="1933"/>
      <c r="C320" s="1935"/>
      <c r="D320" s="1935"/>
      <c r="E320" s="1935"/>
      <c r="F320" s="1935"/>
      <c r="G320" s="1935"/>
      <c r="H320" s="1935"/>
      <c r="I320" s="1935"/>
      <c r="J320" s="1937"/>
      <c r="K320" s="1935">
        <v>2016</v>
      </c>
      <c r="L320" s="1935"/>
      <c r="M320" s="1935">
        <v>2017</v>
      </c>
      <c r="N320" s="1935"/>
      <c r="O320" s="1935">
        <v>2018</v>
      </c>
      <c r="P320" s="1935"/>
      <c r="Q320" s="1935">
        <v>2019</v>
      </c>
      <c r="R320" s="1935"/>
      <c r="S320" s="1935">
        <v>2020</v>
      </c>
      <c r="T320" s="1935"/>
      <c r="U320" s="1935">
        <v>2021</v>
      </c>
      <c r="V320" s="1935"/>
      <c r="W320" s="1940" t="s">
        <v>1857</v>
      </c>
      <c r="X320" s="1935"/>
      <c r="Y320" s="1939"/>
    </row>
    <row r="321" spans="2:25" s="219" customFormat="1" ht="12" x14ac:dyDescent="0.2">
      <c r="B321" s="1933"/>
      <c r="C321" s="1935"/>
      <c r="D321" s="1935"/>
      <c r="E321" s="1935"/>
      <c r="F321" s="1935"/>
      <c r="G321" s="1935"/>
      <c r="H321" s="1935"/>
      <c r="I321" s="1935"/>
      <c r="J321" s="1937"/>
      <c r="K321" s="707" t="s">
        <v>1858</v>
      </c>
      <c r="L321" s="1889" t="s">
        <v>1355</v>
      </c>
      <c r="M321" s="844" t="s">
        <v>1858</v>
      </c>
      <c r="N321" s="1889" t="s">
        <v>1355</v>
      </c>
      <c r="O321" s="844" t="s">
        <v>1858</v>
      </c>
      <c r="P321" s="1889" t="s">
        <v>1355</v>
      </c>
      <c r="Q321" s="844" t="s">
        <v>1858</v>
      </c>
      <c r="R321" s="1889" t="s">
        <v>1355</v>
      </c>
      <c r="S321" s="844" t="s">
        <v>1858</v>
      </c>
      <c r="T321" s="1889" t="s">
        <v>1355</v>
      </c>
      <c r="U321" s="844" t="s">
        <v>1858</v>
      </c>
      <c r="V321" s="1889" t="s">
        <v>1355</v>
      </c>
      <c r="W321" s="1940"/>
      <c r="X321" s="1935"/>
      <c r="Y321" s="1939"/>
    </row>
    <row r="322" spans="2:25" ht="36" customHeight="1" x14ac:dyDescent="0.25">
      <c r="B322" s="2003" t="s">
        <v>1357</v>
      </c>
      <c r="C322" s="1974" t="s">
        <v>4064</v>
      </c>
      <c r="D322" s="1974" t="s">
        <v>4035</v>
      </c>
      <c r="E322" s="346" t="s">
        <v>4066</v>
      </c>
      <c r="F322" s="685" t="s">
        <v>4067</v>
      </c>
      <c r="G322" s="976" t="s">
        <v>4065</v>
      </c>
      <c r="H322" s="38"/>
      <c r="I322" s="189" t="s">
        <v>19</v>
      </c>
      <c r="J322" s="1835">
        <v>9626.7900000000009</v>
      </c>
      <c r="K322" s="1835">
        <v>10092</v>
      </c>
      <c r="L322" s="655"/>
      <c r="M322" s="1835">
        <v>10582</v>
      </c>
      <c r="N322" s="655"/>
      <c r="O322" s="1835">
        <v>11099</v>
      </c>
      <c r="P322" s="655"/>
      <c r="Q322" s="1835">
        <v>11644</v>
      </c>
      <c r="R322" s="535"/>
      <c r="S322" s="1835">
        <v>12220</v>
      </c>
      <c r="T322" s="535"/>
      <c r="U322" s="1835">
        <v>12826</v>
      </c>
      <c r="V322" s="535"/>
      <c r="W322" s="1835">
        <v>12826</v>
      </c>
      <c r="X322" s="344"/>
      <c r="Y322" s="345" t="s">
        <v>1408</v>
      </c>
    </row>
    <row r="323" spans="2:25" ht="114.75" x14ac:dyDescent="0.25">
      <c r="B323" s="2004"/>
      <c r="C323" s="1975"/>
      <c r="D323" s="1975"/>
      <c r="E323" s="359"/>
      <c r="F323" s="365" t="s">
        <v>1411</v>
      </c>
      <c r="G323" s="366"/>
      <c r="I323" s="347" t="s">
        <v>1413</v>
      </c>
      <c r="J323" s="367">
        <v>0</v>
      </c>
      <c r="K323" s="340">
        <v>0</v>
      </c>
      <c r="L323" s="368"/>
      <c r="M323" s="340">
        <v>1</v>
      </c>
      <c r="N323" s="368"/>
      <c r="O323" s="340">
        <v>1</v>
      </c>
      <c r="P323" s="368"/>
      <c r="Q323" s="340">
        <v>1</v>
      </c>
      <c r="R323" s="368"/>
      <c r="S323" s="340">
        <v>1</v>
      </c>
      <c r="T323" s="368"/>
      <c r="U323" s="340">
        <v>1</v>
      </c>
      <c r="V323" s="368"/>
      <c r="W323" s="368">
        <v>1</v>
      </c>
      <c r="X323" s="375" t="s">
        <v>1414</v>
      </c>
      <c r="Y323" s="345" t="s">
        <v>1408</v>
      </c>
    </row>
    <row r="324" spans="2:25" ht="36" x14ac:dyDescent="0.25">
      <c r="B324" s="2004"/>
      <c r="C324" s="1975"/>
      <c r="D324" s="1975"/>
      <c r="E324" s="359"/>
      <c r="F324" s="346"/>
      <c r="G324" s="346" t="s">
        <v>1409</v>
      </c>
      <c r="H324" s="339" t="s">
        <v>1410</v>
      </c>
      <c r="I324" s="341" t="s">
        <v>1407</v>
      </c>
      <c r="J324" s="342">
        <v>7618.06</v>
      </c>
      <c r="K324" s="351">
        <v>7922.78</v>
      </c>
      <c r="L324" s="348">
        <f>SUM(L325:L331)</f>
        <v>2971250</v>
      </c>
      <c r="M324" s="351">
        <v>8239.69</v>
      </c>
      <c r="N324" s="348">
        <f>SUM(N325:N331)</f>
        <v>85980000</v>
      </c>
      <c r="O324" s="351">
        <v>8569.2800000000007</v>
      </c>
      <c r="P324" s="348">
        <f>SUM(P325:P331)</f>
        <v>4335000</v>
      </c>
      <c r="Q324" s="351">
        <v>8912.0499999999993</v>
      </c>
      <c r="R324" s="348">
        <f>SUM(R325:R331)</f>
        <v>4290000</v>
      </c>
      <c r="S324" s="351">
        <v>9268.5300000000007</v>
      </c>
      <c r="T324" s="348">
        <f>SUM(T325:T331)</f>
        <v>4445000</v>
      </c>
      <c r="U324" s="351">
        <v>9639.2800000000007</v>
      </c>
      <c r="V324" s="348">
        <f>SUM(V325:V331)</f>
        <v>4445000</v>
      </c>
      <c r="W324" s="343">
        <f>U324</f>
        <v>9639.2800000000007</v>
      </c>
      <c r="X324" s="349"/>
      <c r="Y324" s="345" t="s">
        <v>1408</v>
      </c>
    </row>
    <row r="325" spans="2:25" ht="38.25" x14ac:dyDescent="0.25">
      <c r="B325" s="2004"/>
      <c r="C325" s="1975"/>
      <c r="D325" s="1975"/>
      <c r="E325" s="359"/>
      <c r="F325" s="646"/>
      <c r="G325" s="352" t="s">
        <v>2652</v>
      </c>
      <c r="H325" s="338" t="s">
        <v>2653</v>
      </c>
      <c r="I325" s="353" t="s">
        <v>327</v>
      </c>
      <c r="J325" s="354"/>
      <c r="K325" s="355">
        <v>151</v>
      </c>
      <c r="L325" s="356">
        <v>25000</v>
      </c>
      <c r="M325" s="355">
        <v>159</v>
      </c>
      <c r="N325" s="356">
        <v>30000</v>
      </c>
      <c r="O325" s="355">
        <v>167</v>
      </c>
      <c r="P325" s="356">
        <v>35000</v>
      </c>
      <c r="Q325" s="355">
        <v>175</v>
      </c>
      <c r="R325" s="356">
        <v>40000</v>
      </c>
      <c r="S325" s="355">
        <v>184</v>
      </c>
      <c r="T325" s="356">
        <v>45000</v>
      </c>
      <c r="U325" s="355">
        <v>193</v>
      </c>
      <c r="V325" s="356">
        <v>45000</v>
      </c>
      <c r="W325" s="357"/>
      <c r="X325" s="358"/>
      <c r="Y325" s="345" t="s">
        <v>1408</v>
      </c>
    </row>
    <row r="326" spans="2:25" ht="51" x14ac:dyDescent="0.25">
      <c r="B326" s="2004"/>
      <c r="C326" s="1975"/>
      <c r="D326" s="359"/>
      <c r="E326" s="359"/>
      <c r="F326" s="359"/>
      <c r="G326" s="338" t="s">
        <v>2654</v>
      </c>
      <c r="H326" s="338" t="s">
        <v>2655</v>
      </c>
      <c r="I326" s="353" t="s">
        <v>1413</v>
      </c>
      <c r="J326" s="354"/>
      <c r="K326" s="355">
        <v>8</v>
      </c>
      <c r="L326" s="360">
        <v>400000</v>
      </c>
      <c r="M326" s="355">
        <v>8</v>
      </c>
      <c r="N326" s="360">
        <v>250000</v>
      </c>
      <c r="O326" s="355">
        <v>8</v>
      </c>
      <c r="P326" s="360">
        <v>300000</v>
      </c>
      <c r="Q326" s="355">
        <v>8</v>
      </c>
      <c r="R326" s="360">
        <v>350000</v>
      </c>
      <c r="S326" s="355">
        <v>8</v>
      </c>
      <c r="T326" s="360">
        <v>400000</v>
      </c>
      <c r="U326" s="355">
        <v>8</v>
      </c>
      <c r="V326" s="360">
        <v>400000</v>
      </c>
      <c r="W326" s="357"/>
      <c r="X326" s="358"/>
      <c r="Y326" s="345" t="s">
        <v>1408</v>
      </c>
    </row>
    <row r="327" spans="2:25" ht="127.5" x14ac:dyDescent="0.25">
      <c r="B327" s="2004"/>
      <c r="C327" s="359"/>
      <c r="D327" s="359"/>
      <c r="E327" s="359"/>
      <c r="F327" s="359"/>
      <c r="G327" s="338" t="s">
        <v>2656</v>
      </c>
      <c r="H327" s="338" t="s">
        <v>2657</v>
      </c>
      <c r="I327" s="353" t="s">
        <v>40</v>
      </c>
      <c r="J327" s="354"/>
      <c r="K327" s="361">
        <v>12</v>
      </c>
      <c r="L327" s="360">
        <v>335000</v>
      </c>
      <c r="M327" s="361">
        <v>12</v>
      </c>
      <c r="N327" s="360">
        <v>400000</v>
      </c>
      <c r="O327" s="361">
        <v>12</v>
      </c>
      <c r="P327" s="360">
        <v>500000</v>
      </c>
      <c r="Q327" s="361">
        <v>12</v>
      </c>
      <c r="R327" s="360">
        <v>400000</v>
      </c>
      <c r="S327" s="361">
        <v>12</v>
      </c>
      <c r="T327" s="360">
        <v>500000</v>
      </c>
      <c r="U327" s="361">
        <v>12</v>
      </c>
      <c r="V327" s="360">
        <v>500000</v>
      </c>
      <c r="W327" s="357"/>
      <c r="X327" s="358"/>
      <c r="Y327" s="345" t="s">
        <v>1408</v>
      </c>
    </row>
    <row r="328" spans="2:25" ht="38.25" x14ac:dyDescent="0.25">
      <c r="B328" s="1846"/>
      <c r="C328" s="359"/>
      <c r="D328" s="359"/>
      <c r="E328" s="359"/>
      <c r="F328" s="359"/>
      <c r="G328" s="338" t="s">
        <v>2658</v>
      </c>
      <c r="H328" s="338" t="s">
        <v>2659</v>
      </c>
      <c r="I328" s="353" t="s">
        <v>69</v>
      </c>
      <c r="J328" s="354"/>
      <c r="K328" s="355">
        <v>953</v>
      </c>
      <c r="L328" s="360">
        <v>750000</v>
      </c>
      <c r="M328" s="355">
        <v>983</v>
      </c>
      <c r="N328" s="360">
        <v>1000000</v>
      </c>
      <c r="O328" s="355">
        <v>1013</v>
      </c>
      <c r="P328" s="360">
        <v>1000000</v>
      </c>
      <c r="Q328" s="355">
        <v>1043</v>
      </c>
      <c r="R328" s="360">
        <v>1000000</v>
      </c>
      <c r="S328" s="355">
        <v>1073</v>
      </c>
      <c r="T328" s="360">
        <v>1000000</v>
      </c>
      <c r="U328" s="355">
        <v>1103</v>
      </c>
      <c r="V328" s="360">
        <v>1000000</v>
      </c>
      <c r="W328" s="357"/>
      <c r="X328" s="358"/>
      <c r="Y328" s="345" t="s">
        <v>1408</v>
      </c>
    </row>
    <row r="329" spans="2:25" ht="114.75" x14ac:dyDescent="0.25">
      <c r="B329" s="1846"/>
      <c r="C329" s="359"/>
      <c r="D329" s="359"/>
      <c r="E329" s="359"/>
      <c r="F329" s="359"/>
      <c r="G329" s="362" t="s">
        <v>2660</v>
      </c>
      <c r="H329" s="338" t="s">
        <v>2661</v>
      </c>
      <c r="I329" s="353" t="s">
        <v>1413</v>
      </c>
      <c r="J329" s="357"/>
      <c r="K329" s="363">
        <v>3</v>
      </c>
      <c r="L329" s="360">
        <v>731000</v>
      </c>
      <c r="M329" s="363">
        <v>3</v>
      </c>
      <c r="N329" s="360">
        <v>1000000</v>
      </c>
      <c r="O329" s="363">
        <v>3</v>
      </c>
      <c r="P329" s="360">
        <v>1000000</v>
      </c>
      <c r="Q329" s="363">
        <v>3</v>
      </c>
      <c r="R329" s="360">
        <v>1000000</v>
      </c>
      <c r="S329" s="363">
        <v>3</v>
      </c>
      <c r="T329" s="360">
        <v>1000000</v>
      </c>
      <c r="U329" s="363">
        <v>3</v>
      </c>
      <c r="V329" s="360">
        <v>1000000</v>
      </c>
      <c r="W329" s="357"/>
      <c r="X329" s="358"/>
      <c r="Y329" s="345" t="s">
        <v>1408</v>
      </c>
    </row>
    <row r="330" spans="2:25" ht="63.75" x14ac:dyDescent="0.25">
      <c r="B330" s="1846"/>
      <c r="C330" s="359"/>
      <c r="D330" s="359"/>
      <c r="E330" s="359"/>
      <c r="F330" s="359"/>
      <c r="G330" s="364"/>
      <c r="H330" s="338" t="s">
        <v>2662</v>
      </c>
      <c r="I330" s="353" t="s">
        <v>1413</v>
      </c>
      <c r="J330" s="357"/>
      <c r="K330" s="363">
        <v>0</v>
      </c>
      <c r="L330" s="360">
        <v>0</v>
      </c>
      <c r="M330" s="363">
        <v>1</v>
      </c>
      <c r="N330" s="360">
        <v>82000000</v>
      </c>
      <c r="O330" s="363"/>
      <c r="P330" s="360"/>
      <c r="Q330" s="363"/>
      <c r="R330" s="360"/>
      <c r="S330" s="363"/>
      <c r="T330" s="360"/>
      <c r="U330" s="363"/>
      <c r="V330" s="360"/>
      <c r="W330" s="357"/>
      <c r="X330" s="358"/>
      <c r="Y330" s="345" t="s">
        <v>1408</v>
      </c>
    </row>
    <row r="331" spans="2:25" ht="25.5" x14ac:dyDescent="0.25">
      <c r="B331" s="1846"/>
      <c r="C331" s="359"/>
      <c r="D331" s="359"/>
      <c r="E331" s="359"/>
      <c r="F331" s="359"/>
      <c r="G331" s="338" t="s">
        <v>2663</v>
      </c>
      <c r="H331" s="338" t="s">
        <v>2664</v>
      </c>
      <c r="I331" s="353" t="s">
        <v>75</v>
      </c>
      <c r="J331" s="354"/>
      <c r="K331" s="355">
        <v>15</v>
      </c>
      <c r="L331" s="360">
        <v>730250</v>
      </c>
      <c r="M331" s="355">
        <v>18</v>
      </c>
      <c r="N331" s="360">
        <v>1300000</v>
      </c>
      <c r="O331" s="355">
        <v>21</v>
      </c>
      <c r="P331" s="360">
        <v>1500000</v>
      </c>
      <c r="Q331" s="355">
        <v>24</v>
      </c>
      <c r="R331" s="360">
        <v>1500000</v>
      </c>
      <c r="S331" s="355">
        <v>27</v>
      </c>
      <c r="T331" s="360">
        <v>1500000</v>
      </c>
      <c r="U331" s="355">
        <v>30</v>
      </c>
      <c r="V331" s="360">
        <v>1500000</v>
      </c>
      <c r="W331" s="357"/>
      <c r="X331" s="358"/>
      <c r="Y331" s="345" t="s">
        <v>1408</v>
      </c>
    </row>
    <row r="332" spans="2:25" ht="48" x14ac:dyDescent="0.25">
      <c r="B332" s="1846"/>
      <c r="C332" s="359"/>
      <c r="D332" s="359"/>
      <c r="E332" s="359"/>
      <c r="F332" s="350"/>
      <c r="G332" s="366" t="s">
        <v>1412</v>
      </c>
      <c r="H332" s="339" t="s">
        <v>1415</v>
      </c>
      <c r="I332" s="341" t="s">
        <v>1407</v>
      </c>
      <c r="J332" s="369">
        <v>2008.73</v>
      </c>
      <c r="K332" s="370">
        <v>2169.4299999999998</v>
      </c>
      <c r="L332" s="371">
        <f>SUM(L333:L338)</f>
        <v>1962978</v>
      </c>
      <c r="M332" s="370">
        <v>2342.98</v>
      </c>
      <c r="N332" s="371">
        <f>SUM(N333:N338)</f>
        <v>5749245</v>
      </c>
      <c r="O332" s="370">
        <v>2530.42</v>
      </c>
      <c r="P332" s="371">
        <f>SUM(P333:P338)</f>
        <v>6344044</v>
      </c>
      <c r="Q332" s="370">
        <v>2732.85</v>
      </c>
      <c r="R332" s="371">
        <f>SUM(R333:R338)</f>
        <v>6721568.5</v>
      </c>
      <c r="S332" s="370">
        <v>2951.48</v>
      </c>
      <c r="T332" s="371">
        <f>SUM(T333:T338)</f>
        <v>3622325.5</v>
      </c>
      <c r="U332" s="370">
        <v>3187.6</v>
      </c>
      <c r="V332" s="371">
        <f>SUM(V333:V338)</f>
        <v>3202524.5</v>
      </c>
      <c r="W332" s="370">
        <f>U332</f>
        <v>3187.6</v>
      </c>
      <c r="X332" s="372"/>
      <c r="Y332" s="345" t="s">
        <v>1408</v>
      </c>
    </row>
    <row r="333" spans="2:25" ht="89.25" x14ac:dyDescent="0.25">
      <c r="B333" s="1846"/>
      <c r="C333" s="359"/>
      <c r="D333" s="359"/>
      <c r="E333" s="359"/>
      <c r="F333" s="359"/>
      <c r="G333" s="338" t="s">
        <v>2665</v>
      </c>
      <c r="H333" s="338" t="s">
        <v>2666</v>
      </c>
      <c r="I333" s="353" t="s">
        <v>103</v>
      </c>
      <c r="J333" s="354">
        <v>30</v>
      </c>
      <c r="K333" s="355">
        <v>35</v>
      </c>
      <c r="L333" s="360">
        <v>542978</v>
      </c>
      <c r="M333" s="355">
        <v>40</v>
      </c>
      <c r="N333" s="360">
        <v>650000</v>
      </c>
      <c r="O333" s="355">
        <v>45</v>
      </c>
      <c r="P333" s="360">
        <v>700000</v>
      </c>
      <c r="Q333" s="355">
        <v>50</v>
      </c>
      <c r="R333" s="360">
        <v>750000</v>
      </c>
      <c r="S333" s="355">
        <v>55</v>
      </c>
      <c r="T333" s="360">
        <v>800000</v>
      </c>
      <c r="U333" s="355">
        <v>60</v>
      </c>
      <c r="V333" s="360">
        <v>800000</v>
      </c>
      <c r="W333" s="357"/>
      <c r="X333" s="358"/>
      <c r="Y333" s="345" t="s">
        <v>1408</v>
      </c>
    </row>
    <row r="334" spans="2:25" ht="191.25" x14ac:dyDescent="0.25">
      <c r="B334" s="1846"/>
      <c r="C334" s="359"/>
      <c r="D334" s="359"/>
      <c r="E334" s="359"/>
      <c r="F334" s="374"/>
      <c r="G334" s="338" t="s">
        <v>2667</v>
      </c>
      <c r="H334" s="338" t="s">
        <v>2668</v>
      </c>
      <c r="I334" s="353" t="s">
        <v>327</v>
      </c>
      <c r="J334" s="354">
        <v>0</v>
      </c>
      <c r="K334" s="355">
        <v>0</v>
      </c>
      <c r="L334" s="356">
        <v>0</v>
      </c>
      <c r="M334" s="355">
        <v>2</v>
      </c>
      <c r="N334" s="356">
        <v>3324245</v>
      </c>
      <c r="O334" s="355">
        <v>4</v>
      </c>
      <c r="P334" s="356">
        <v>3744044</v>
      </c>
      <c r="Q334" s="355">
        <v>6</v>
      </c>
      <c r="R334" s="356">
        <v>3946568.5</v>
      </c>
      <c r="S334" s="355">
        <v>6</v>
      </c>
      <c r="T334" s="356">
        <v>622325.5</v>
      </c>
      <c r="U334" s="355">
        <v>6</v>
      </c>
      <c r="V334" s="356">
        <v>202524.5</v>
      </c>
      <c r="W334" s="361">
        <v>6</v>
      </c>
      <c r="X334" s="375" t="s">
        <v>1414</v>
      </c>
      <c r="Y334" s="345" t="s">
        <v>1408</v>
      </c>
    </row>
    <row r="335" spans="2:25" ht="63.75" x14ac:dyDescent="0.25">
      <c r="B335" s="1846"/>
      <c r="C335" s="359"/>
      <c r="D335" s="359"/>
      <c r="E335" s="359"/>
      <c r="F335" s="646"/>
      <c r="G335" s="338" t="s">
        <v>2669</v>
      </c>
      <c r="H335" s="338" t="s">
        <v>2670</v>
      </c>
      <c r="I335" s="353" t="s">
        <v>69</v>
      </c>
      <c r="J335" s="354">
        <v>2</v>
      </c>
      <c r="K335" s="355">
        <v>2</v>
      </c>
      <c r="L335" s="360">
        <v>200000</v>
      </c>
      <c r="M335" s="355">
        <v>2</v>
      </c>
      <c r="N335" s="360">
        <v>125000</v>
      </c>
      <c r="O335" s="355">
        <v>2</v>
      </c>
      <c r="P335" s="360">
        <v>150000</v>
      </c>
      <c r="Q335" s="355">
        <v>3</v>
      </c>
      <c r="R335" s="360">
        <v>175000</v>
      </c>
      <c r="S335" s="355">
        <v>3</v>
      </c>
      <c r="T335" s="360">
        <v>200000</v>
      </c>
      <c r="U335" s="355">
        <v>3</v>
      </c>
      <c r="V335" s="360">
        <v>200000</v>
      </c>
      <c r="W335" s="357"/>
      <c r="X335" s="358"/>
      <c r="Y335" s="345" t="s">
        <v>1408</v>
      </c>
    </row>
    <row r="336" spans="2:25" ht="51" x14ac:dyDescent="0.25">
      <c r="B336" s="1846"/>
      <c r="C336" s="359"/>
      <c r="D336" s="359"/>
      <c r="E336" s="359"/>
      <c r="F336" s="359"/>
      <c r="G336" s="1963" t="s">
        <v>2671</v>
      </c>
      <c r="H336" s="376" t="s">
        <v>2672</v>
      </c>
      <c r="I336" s="353" t="s">
        <v>75</v>
      </c>
      <c r="J336" s="354">
        <v>8</v>
      </c>
      <c r="K336" s="355">
        <v>13</v>
      </c>
      <c r="L336" s="377">
        <v>1220000</v>
      </c>
      <c r="M336" s="355">
        <v>15</v>
      </c>
      <c r="N336" s="377">
        <v>1650000</v>
      </c>
      <c r="O336" s="355">
        <v>20</v>
      </c>
      <c r="P336" s="377">
        <v>1750000</v>
      </c>
      <c r="Q336" s="355">
        <v>20</v>
      </c>
      <c r="R336" s="377">
        <v>1850000</v>
      </c>
      <c r="S336" s="355">
        <v>20</v>
      </c>
      <c r="T336" s="377">
        <v>2000000</v>
      </c>
      <c r="U336" s="355">
        <v>20</v>
      </c>
      <c r="V336" s="377">
        <v>2000000</v>
      </c>
      <c r="W336" s="357"/>
      <c r="X336" s="358"/>
      <c r="Y336" s="345" t="s">
        <v>1408</v>
      </c>
    </row>
    <row r="337" spans="2:25" ht="38.25" x14ac:dyDescent="0.25">
      <c r="B337" s="1846"/>
      <c r="C337" s="359"/>
      <c r="D337" s="359"/>
      <c r="E337" s="359"/>
      <c r="F337" s="359"/>
      <c r="G337" s="1963"/>
      <c r="H337" s="376" t="s">
        <v>2673</v>
      </c>
      <c r="I337" s="353" t="s">
        <v>75</v>
      </c>
      <c r="J337" s="354">
        <v>1</v>
      </c>
      <c r="K337" s="355">
        <v>1</v>
      </c>
      <c r="L337" s="378"/>
      <c r="M337" s="355">
        <v>1</v>
      </c>
      <c r="N337" s="378"/>
      <c r="O337" s="355">
        <v>2</v>
      </c>
      <c r="P337" s="378"/>
      <c r="Q337" s="355">
        <v>2</v>
      </c>
      <c r="R337" s="378"/>
      <c r="S337" s="355">
        <v>2</v>
      </c>
      <c r="T337" s="378"/>
      <c r="U337" s="355">
        <v>2</v>
      </c>
      <c r="V337" s="378"/>
      <c r="W337" s="357"/>
      <c r="X337" s="358"/>
      <c r="Y337" s="345" t="s">
        <v>1408</v>
      </c>
    </row>
    <row r="338" spans="2:25" ht="38.25" x14ac:dyDescent="0.25">
      <c r="B338" s="1846"/>
      <c r="C338" s="359"/>
      <c r="D338" s="359"/>
      <c r="E338" s="359"/>
      <c r="F338" s="359"/>
      <c r="G338" s="1964"/>
      <c r="H338" s="1838" t="s">
        <v>2674</v>
      </c>
      <c r="I338" s="1836" t="s">
        <v>75</v>
      </c>
      <c r="J338" s="1839">
        <v>0</v>
      </c>
      <c r="K338" s="1840">
        <v>0</v>
      </c>
      <c r="L338" s="378"/>
      <c r="M338" s="1840">
        <v>0</v>
      </c>
      <c r="N338" s="380"/>
      <c r="O338" s="355">
        <v>1</v>
      </c>
      <c r="P338" s="380"/>
      <c r="Q338" s="355">
        <v>1</v>
      </c>
      <c r="R338" s="380"/>
      <c r="S338" s="355">
        <v>1</v>
      </c>
      <c r="T338" s="380"/>
      <c r="U338" s="355">
        <v>1</v>
      </c>
      <c r="V338" s="380"/>
      <c r="W338" s="357"/>
      <c r="X338" s="358"/>
      <c r="Y338" s="345" t="s">
        <v>1408</v>
      </c>
    </row>
    <row r="339" spans="2:25" ht="72" x14ac:dyDescent="0.25">
      <c r="B339" s="1846"/>
      <c r="C339" s="359"/>
      <c r="D339" s="359"/>
      <c r="E339" s="359"/>
      <c r="F339" s="653"/>
      <c r="G339" s="373" t="s">
        <v>3060</v>
      </c>
      <c r="H339" s="373" t="s">
        <v>1420</v>
      </c>
      <c r="I339" s="341" t="s">
        <v>327</v>
      </c>
      <c r="J339" s="342">
        <v>30</v>
      </c>
      <c r="K339" s="351">
        <v>35</v>
      </c>
      <c r="L339" s="348">
        <f>SUM(L340:L341)</f>
        <v>300000</v>
      </c>
      <c r="M339" s="351">
        <v>40</v>
      </c>
      <c r="N339" s="348">
        <f>SUM(N340:N341)</f>
        <v>50000</v>
      </c>
      <c r="O339" s="351">
        <v>45</v>
      </c>
      <c r="P339" s="348">
        <f>SUM(P340:P341)</f>
        <v>50000</v>
      </c>
      <c r="Q339" s="351">
        <v>50</v>
      </c>
      <c r="R339" s="348">
        <f>SUM(R340:R341)</f>
        <v>50000</v>
      </c>
      <c r="S339" s="351">
        <v>55</v>
      </c>
      <c r="T339" s="348">
        <f>SUM(T340:T341)</f>
        <v>50000</v>
      </c>
      <c r="U339" s="351">
        <v>60</v>
      </c>
      <c r="V339" s="348">
        <f>SUM(V340:V341)</f>
        <v>50000</v>
      </c>
      <c r="W339" s="386"/>
      <c r="X339" s="344"/>
      <c r="Y339" s="345" t="s">
        <v>1408</v>
      </c>
    </row>
    <row r="340" spans="2:25" ht="63.75" x14ac:dyDescent="0.25">
      <c r="B340" s="1846"/>
      <c r="C340" s="359"/>
      <c r="D340" s="359"/>
      <c r="E340" s="359"/>
      <c r="F340" s="387"/>
      <c r="G340" s="338" t="s">
        <v>2679</v>
      </c>
      <c r="H340" s="338" t="s">
        <v>2680</v>
      </c>
      <c r="I340" s="353" t="s">
        <v>327</v>
      </c>
      <c r="J340" s="354">
        <v>30</v>
      </c>
      <c r="K340" s="385">
        <v>35</v>
      </c>
      <c r="L340" s="360">
        <v>50000</v>
      </c>
      <c r="M340" s="385">
        <v>40</v>
      </c>
      <c r="N340" s="360">
        <v>50000</v>
      </c>
      <c r="O340" s="385">
        <v>45</v>
      </c>
      <c r="P340" s="360">
        <v>50000</v>
      </c>
      <c r="Q340" s="385">
        <v>50</v>
      </c>
      <c r="R340" s="360">
        <v>50000</v>
      </c>
      <c r="S340" s="385">
        <v>55</v>
      </c>
      <c r="T340" s="360">
        <v>50000</v>
      </c>
      <c r="U340" s="385">
        <v>60</v>
      </c>
      <c r="V340" s="360">
        <v>50000</v>
      </c>
      <c r="W340" s="357"/>
      <c r="X340" s="358"/>
      <c r="Y340" s="345" t="s">
        <v>1408</v>
      </c>
    </row>
    <row r="341" spans="2:25" ht="76.5" x14ac:dyDescent="0.25">
      <c r="B341" s="1846"/>
      <c r="C341" s="359"/>
      <c r="D341" s="359"/>
      <c r="E341" s="359"/>
      <c r="F341" s="359"/>
      <c r="G341" s="338" t="s">
        <v>2681</v>
      </c>
      <c r="H341" s="338" t="s">
        <v>2682</v>
      </c>
      <c r="I341" s="353" t="s">
        <v>79</v>
      </c>
      <c r="J341" s="354">
        <v>0</v>
      </c>
      <c r="K341" s="385">
        <v>1</v>
      </c>
      <c r="L341" s="360">
        <v>250000</v>
      </c>
      <c r="M341" s="385">
        <v>0</v>
      </c>
      <c r="N341" s="360">
        <v>0</v>
      </c>
      <c r="O341" s="385"/>
      <c r="P341" s="360">
        <v>0</v>
      </c>
      <c r="Q341" s="385"/>
      <c r="R341" s="360">
        <v>0</v>
      </c>
      <c r="S341" s="385"/>
      <c r="T341" s="360">
        <v>0</v>
      </c>
      <c r="U341" s="385"/>
      <c r="V341" s="360">
        <v>0</v>
      </c>
      <c r="W341" s="357"/>
      <c r="X341" s="358"/>
      <c r="Y341" s="345" t="s">
        <v>1408</v>
      </c>
    </row>
    <row r="342" spans="2:25" ht="108" x14ac:dyDescent="0.25">
      <c r="B342" s="1846"/>
      <c r="C342" s="359"/>
      <c r="D342" s="359"/>
      <c r="E342" s="359"/>
      <c r="F342" s="350"/>
      <c r="G342" s="373" t="s">
        <v>1422</v>
      </c>
      <c r="H342" s="346" t="s">
        <v>1421</v>
      </c>
      <c r="I342" s="341" t="s">
        <v>1423</v>
      </c>
      <c r="J342" s="342">
        <v>12</v>
      </c>
      <c r="K342" s="351">
        <v>15</v>
      </c>
      <c r="L342" s="348">
        <f>SUM(L343:L346)</f>
        <v>130000</v>
      </c>
      <c r="M342" s="351">
        <v>18</v>
      </c>
      <c r="N342" s="348">
        <f>SUM(N343:N346)</f>
        <v>130000</v>
      </c>
      <c r="O342" s="351">
        <v>21</v>
      </c>
      <c r="P342" s="348">
        <f>SUM(P343:P346)</f>
        <v>390000</v>
      </c>
      <c r="Q342" s="351">
        <v>24</v>
      </c>
      <c r="R342" s="348">
        <f>SUM(R343:R346)</f>
        <v>250000</v>
      </c>
      <c r="S342" s="351">
        <v>27</v>
      </c>
      <c r="T342" s="348">
        <f>SUM(T343:T346)</f>
        <v>250000</v>
      </c>
      <c r="U342" s="351">
        <v>30</v>
      </c>
      <c r="V342" s="348">
        <f>SUM(V343:V346)</f>
        <v>250000</v>
      </c>
      <c r="W342" s="386">
        <f>U342</f>
        <v>30</v>
      </c>
      <c r="X342" s="344"/>
      <c r="Y342" s="345" t="s">
        <v>1408</v>
      </c>
    </row>
    <row r="343" spans="2:25" ht="51" x14ac:dyDescent="0.25">
      <c r="B343" s="1846"/>
      <c r="C343" s="359"/>
      <c r="D343" s="359"/>
      <c r="E343" s="359"/>
      <c r="F343" s="359"/>
      <c r="G343" s="388" t="s">
        <v>2683</v>
      </c>
      <c r="H343" s="338" t="s">
        <v>2684</v>
      </c>
      <c r="I343" s="353" t="s">
        <v>1423</v>
      </c>
      <c r="J343" s="389">
        <v>12</v>
      </c>
      <c r="K343" s="390">
        <v>13</v>
      </c>
      <c r="L343" s="377">
        <v>130000</v>
      </c>
      <c r="M343" s="390">
        <v>14</v>
      </c>
      <c r="N343" s="377">
        <v>130000</v>
      </c>
      <c r="O343" s="390">
        <v>15</v>
      </c>
      <c r="P343" s="377">
        <v>390000</v>
      </c>
      <c r="Q343" s="390">
        <v>16</v>
      </c>
      <c r="R343" s="377">
        <v>250000</v>
      </c>
      <c r="S343" s="390">
        <v>17</v>
      </c>
      <c r="T343" s="377">
        <v>250000</v>
      </c>
      <c r="U343" s="390">
        <v>18</v>
      </c>
      <c r="V343" s="377">
        <v>250000</v>
      </c>
      <c r="W343" s="391"/>
      <c r="X343" s="358"/>
      <c r="Y343" s="345" t="s">
        <v>1408</v>
      </c>
    </row>
    <row r="344" spans="2:25" ht="63.75" x14ac:dyDescent="0.25">
      <c r="B344" s="1846"/>
      <c r="C344" s="359"/>
      <c r="D344" s="359"/>
      <c r="E344" s="359"/>
      <c r="F344" s="359"/>
      <c r="G344" s="359"/>
      <c r="H344" s="338" t="s">
        <v>2685</v>
      </c>
      <c r="I344" s="353" t="s">
        <v>1402</v>
      </c>
      <c r="J344" s="392">
        <v>20000</v>
      </c>
      <c r="K344" s="393">
        <v>20000</v>
      </c>
      <c r="L344" s="378"/>
      <c r="M344" s="393">
        <v>20000</v>
      </c>
      <c r="N344" s="378"/>
      <c r="O344" s="393">
        <v>20000</v>
      </c>
      <c r="P344" s="378"/>
      <c r="Q344" s="393">
        <v>20000</v>
      </c>
      <c r="R344" s="378"/>
      <c r="S344" s="393">
        <v>20000</v>
      </c>
      <c r="T344" s="378"/>
      <c r="U344" s="393">
        <v>20000</v>
      </c>
      <c r="V344" s="378"/>
      <c r="W344" s="391"/>
      <c r="X344" s="358"/>
      <c r="Y344" s="345" t="s">
        <v>1408</v>
      </c>
    </row>
    <row r="345" spans="2:25" ht="51" x14ac:dyDescent="0.25">
      <c r="B345" s="1846"/>
      <c r="C345" s="359"/>
      <c r="D345" s="359"/>
      <c r="E345" s="359"/>
      <c r="F345" s="359"/>
      <c r="G345" s="359"/>
      <c r="H345" s="338" t="s">
        <v>2686</v>
      </c>
      <c r="I345" s="353" t="s">
        <v>75</v>
      </c>
      <c r="J345" s="389">
        <v>20</v>
      </c>
      <c r="K345" s="390">
        <v>30</v>
      </c>
      <c r="L345" s="378"/>
      <c r="M345" s="390">
        <v>30</v>
      </c>
      <c r="N345" s="378"/>
      <c r="O345" s="390">
        <v>30</v>
      </c>
      <c r="P345" s="378"/>
      <c r="Q345" s="390">
        <v>30</v>
      </c>
      <c r="R345" s="378"/>
      <c r="S345" s="390">
        <v>30</v>
      </c>
      <c r="T345" s="378"/>
      <c r="U345" s="390">
        <v>30</v>
      </c>
      <c r="V345" s="378"/>
      <c r="W345" s="391"/>
      <c r="X345" s="358"/>
      <c r="Y345" s="345" t="s">
        <v>1408</v>
      </c>
    </row>
    <row r="346" spans="2:25" ht="51" x14ac:dyDescent="0.25">
      <c r="B346" s="1846"/>
      <c r="C346" s="359"/>
      <c r="D346" s="359"/>
      <c r="E346" s="379"/>
      <c r="F346" s="379"/>
      <c r="G346" s="379"/>
      <c r="H346" s="338" t="s">
        <v>2687</v>
      </c>
      <c r="I346" s="353" t="s">
        <v>75</v>
      </c>
      <c r="J346" s="389">
        <v>1</v>
      </c>
      <c r="K346" s="390">
        <v>1</v>
      </c>
      <c r="L346" s="380"/>
      <c r="M346" s="390">
        <v>1</v>
      </c>
      <c r="N346" s="380"/>
      <c r="O346" s="390">
        <v>2</v>
      </c>
      <c r="P346" s="380"/>
      <c r="Q346" s="390">
        <v>2</v>
      </c>
      <c r="R346" s="380"/>
      <c r="S346" s="390">
        <v>2</v>
      </c>
      <c r="T346" s="380"/>
      <c r="U346" s="390">
        <v>2</v>
      </c>
      <c r="V346" s="380"/>
      <c r="W346" s="391"/>
      <c r="X346" s="358"/>
      <c r="Y346" s="345" t="s">
        <v>1408</v>
      </c>
    </row>
    <row r="347" spans="2:25" x14ac:dyDescent="0.25">
      <c r="B347" s="1846"/>
      <c r="C347" s="359"/>
      <c r="D347" s="359"/>
      <c r="E347" s="352"/>
      <c r="F347" s="352"/>
      <c r="G347" s="338"/>
      <c r="H347" s="376"/>
      <c r="I347" s="353"/>
      <c r="J347" s="354"/>
      <c r="K347" s="355"/>
      <c r="L347" s="393"/>
      <c r="M347" s="355"/>
      <c r="N347" s="378"/>
      <c r="O347" s="355"/>
      <c r="P347" s="378"/>
      <c r="Q347" s="355"/>
      <c r="R347" s="378"/>
      <c r="S347" s="355"/>
      <c r="T347" s="378"/>
      <c r="U347" s="355"/>
      <c r="V347" s="378"/>
      <c r="W347" s="1837"/>
      <c r="X347" s="358"/>
      <c r="Y347" s="345"/>
    </row>
    <row r="348" spans="2:25" ht="48" x14ac:dyDescent="0.25">
      <c r="B348" s="1846"/>
      <c r="C348" s="359"/>
      <c r="D348" s="359"/>
      <c r="E348" s="346" t="s">
        <v>4068</v>
      </c>
      <c r="F348" s="346" t="s">
        <v>4069</v>
      </c>
      <c r="G348" s="341" t="s">
        <v>4070</v>
      </c>
      <c r="H348" s="376"/>
      <c r="I348" s="347" t="s">
        <v>1419</v>
      </c>
      <c r="J348" s="381">
        <v>13.65</v>
      </c>
      <c r="K348" s="382">
        <v>14.83755</v>
      </c>
      <c r="L348" s="368"/>
      <c r="M348" s="382">
        <v>16.128416850000001</v>
      </c>
      <c r="N348" s="383"/>
      <c r="O348" s="382">
        <v>17.531589115950002</v>
      </c>
      <c r="P348" s="383"/>
      <c r="Q348" s="382">
        <v>19.056837369037652</v>
      </c>
      <c r="R348" s="383"/>
      <c r="S348" s="382">
        <v>20.714782220143928</v>
      </c>
      <c r="T348" s="383"/>
      <c r="U348" s="382">
        <v>22.516968273296449</v>
      </c>
      <c r="V348" s="383"/>
      <c r="W348" s="384">
        <f>U348</f>
        <v>22.516968273296449</v>
      </c>
      <c r="X348" s="358"/>
      <c r="Y348" s="345" t="s">
        <v>1408</v>
      </c>
    </row>
    <row r="349" spans="2:25" ht="48" x14ac:dyDescent="0.25">
      <c r="B349" s="1846"/>
      <c r="C349" s="359"/>
      <c r="D349" s="359"/>
      <c r="F349" s="350"/>
      <c r="G349" s="1841" t="s">
        <v>1418</v>
      </c>
      <c r="H349" s="365" t="s">
        <v>1417</v>
      </c>
      <c r="I349" s="1842" t="s">
        <v>1419</v>
      </c>
      <c r="J349" s="1843">
        <v>13.65</v>
      </c>
      <c r="K349" s="1844">
        <v>14.83755</v>
      </c>
      <c r="L349" s="1845">
        <f>SUM(L350:L351)</f>
        <v>1520877</v>
      </c>
      <c r="M349" s="1844">
        <v>16.128416850000001</v>
      </c>
      <c r="N349" s="383">
        <f>SUM(N350:N351)</f>
        <v>1250000</v>
      </c>
      <c r="O349" s="382">
        <v>17.531589115950002</v>
      </c>
      <c r="P349" s="383">
        <f>SUM(P350:P351)</f>
        <v>1300000</v>
      </c>
      <c r="Q349" s="382">
        <v>19.056837369037652</v>
      </c>
      <c r="R349" s="383">
        <f>SUM(R350:R351)</f>
        <v>1350000</v>
      </c>
      <c r="S349" s="382">
        <v>20.714782220143928</v>
      </c>
      <c r="T349" s="383">
        <f>SUM(T350:T351)</f>
        <v>1400000</v>
      </c>
      <c r="U349" s="382">
        <v>22.516968273296449</v>
      </c>
      <c r="V349" s="383">
        <f>SUM(V350:V351)</f>
        <v>1400000</v>
      </c>
      <c r="W349" s="384">
        <f>U349</f>
        <v>22.516968273296449</v>
      </c>
      <c r="X349" s="344"/>
      <c r="Y349" s="345" t="s">
        <v>1408</v>
      </c>
    </row>
    <row r="350" spans="2:25" ht="114.75" x14ac:dyDescent="0.25">
      <c r="B350" s="1846"/>
      <c r="C350" s="359"/>
      <c r="D350" s="359"/>
      <c r="E350" s="359"/>
      <c r="F350" s="359"/>
      <c r="G350" s="338" t="s">
        <v>2675</v>
      </c>
      <c r="H350" s="338" t="s">
        <v>2676</v>
      </c>
      <c r="I350" s="353" t="s">
        <v>103</v>
      </c>
      <c r="J350" s="354">
        <v>1</v>
      </c>
      <c r="K350" s="385">
        <v>2</v>
      </c>
      <c r="L350" s="360">
        <v>475000</v>
      </c>
      <c r="M350" s="385">
        <v>2</v>
      </c>
      <c r="N350" s="360">
        <v>250000</v>
      </c>
      <c r="O350" s="385">
        <v>2</v>
      </c>
      <c r="P350" s="360">
        <v>300000</v>
      </c>
      <c r="Q350" s="385">
        <v>2</v>
      </c>
      <c r="R350" s="360">
        <v>350000</v>
      </c>
      <c r="S350" s="385">
        <v>2</v>
      </c>
      <c r="T350" s="360">
        <v>400000</v>
      </c>
      <c r="U350" s="385">
        <v>2</v>
      </c>
      <c r="V350" s="360">
        <v>400000</v>
      </c>
      <c r="W350" s="357"/>
      <c r="X350" s="358"/>
      <c r="Y350" s="345" t="s">
        <v>1408</v>
      </c>
    </row>
    <row r="351" spans="2:25" ht="63.75" x14ac:dyDescent="0.25">
      <c r="B351" s="1846"/>
      <c r="C351" s="359"/>
      <c r="D351" s="359"/>
      <c r="E351" s="359"/>
      <c r="F351" s="359"/>
      <c r="G351" s="338" t="s">
        <v>2677</v>
      </c>
      <c r="H351" s="338" t="s">
        <v>2678</v>
      </c>
      <c r="I351" s="353" t="s">
        <v>75</v>
      </c>
      <c r="J351" s="354">
        <v>1</v>
      </c>
      <c r="K351" s="355">
        <v>3</v>
      </c>
      <c r="L351" s="356">
        <v>1045877</v>
      </c>
      <c r="M351" s="355">
        <v>5</v>
      </c>
      <c r="N351" s="356">
        <v>1000000</v>
      </c>
      <c r="O351" s="355">
        <v>7</v>
      </c>
      <c r="P351" s="356">
        <v>1000000</v>
      </c>
      <c r="Q351" s="355">
        <v>10</v>
      </c>
      <c r="R351" s="356">
        <v>1000000</v>
      </c>
      <c r="S351" s="355">
        <v>12</v>
      </c>
      <c r="T351" s="356">
        <v>1000000</v>
      </c>
      <c r="U351" s="355">
        <v>15</v>
      </c>
      <c r="V351" s="356">
        <v>1000000</v>
      </c>
      <c r="W351" s="357"/>
      <c r="X351" s="358"/>
      <c r="Y351" s="345" t="s">
        <v>1408</v>
      </c>
    </row>
    <row r="352" spans="2:25" x14ac:dyDescent="0.25">
      <c r="B352" s="337"/>
      <c r="C352" s="352"/>
      <c r="D352" s="352"/>
      <c r="E352" s="352"/>
      <c r="F352" s="352"/>
      <c r="G352" s="379"/>
      <c r="H352" s="338"/>
      <c r="I352" s="353"/>
      <c r="J352" s="389"/>
      <c r="K352" s="390"/>
      <c r="L352" s="659"/>
      <c r="M352" s="1858"/>
      <c r="N352" s="659"/>
      <c r="O352" s="1858"/>
      <c r="P352" s="659"/>
      <c r="Q352" s="1858"/>
      <c r="R352" s="659"/>
      <c r="S352" s="1858"/>
      <c r="T352" s="659"/>
      <c r="U352" s="1858"/>
      <c r="V352" s="659"/>
      <c r="W352" s="1859"/>
      <c r="X352" s="1860"/>
      <c r="Y352" s="345" t="s">
        <v>1408</v>
      </c>
    </row>
    <row r="353" spans="2:25" ht="60" customHeight="1" x14ac:dyDescent="0.25">
      <c r="B353" s="1957" t="s">
        <v>33</v>
      </c>
      <c r="C353" s="1946" t="s">
        <v>34</v>
      </c>
      <c r="D353" s="1946" t="s">
        <v>3831</v>
      </c>
      <c r="E353" s="1792" t="s">
        <v>3992</v>
      </c>
      <c r="F353" s="1946" t="s">
        <v>3913</v>
      </c>
      <c r="G353" s="38" t="s">
        <v>3133</v>
      </c>
      <c r="H353" s="339" t="s">
        <v>969</v>
      </c>
      <c r="I353" s="347" t="s">
        <v>19</v>
      </c>
      <c r="J353" s="367">
        <v>90</v>
      </c>
      <c r="K353" s="382">
        <v>91</v>
      </c>
      <c r="L353" s="1861"/>
      <c r="M353" s="340">
        <v>92</v>
      </c>
      <c r="N353" s="1861"/>
      <c r="O353" s="382">
        <v>93</v>
      </c>
      <c r="P353" s="1861"/>
      <c r="Q353" s="382">
        <v>94</v>
      </c>
      <c r="R353" s="1861"/>
      <c r="S353" s="382">
        <v>95</v>
      </c>
      <c r="T353" s="1861"/>
      <c r="U353" s="382">
        <v>96</v>
      </c>
      <c r="V353" s="1861"/>
      <c r="W353" s="382">
        <v>96</v>
      </c>
      <c r="X353" s="344"/>
      <c r="Y353" s="345" t="s">
        <v>1408</v>
      </c>
    </row>
    <row r="354" spans="2:25" ht="72" x14ac:dyDescent="0.25">
      <c r="B354" s="1957"/>
      <c r="C354" s="1947"/>
      <c r="D354" s="1947"/>
      <c r="E354" s="1793"/>
      <c r="F354" s="1947"/>
      <c r="G354" s="339" t="s">
        <v>36</v>
      </c>
      <c r="H354" s="339" t="s">
        <v>386</v>
      </c>
      <c r="I354" s="341" t="s">
        <v>19</v>
      </c>
      <c r="J354" s="386">
        <v>100</v>
      </c>
      <c r="K354" s="386">
        <v>20</v>
      </c>
      <c r="L354" s="386">
        <f>SUM(L355:L367)</f>
        <v>356700</v>
      </c>
      <c r="M354" s="386">
        <v>20</v>
      </c>
      <c r="N354" s="386">
        <f>SUM(N355:N367)</f>
        <v>379000</v>
      </c>
      <c r="O354" s="386">
        <v>15</v>
      </c>
      <c r="P354" s="386">
        <f>SUM(P355:P367)</f>
        <v>381000</v>
      </c>
      <c r="Q354" s="386">
        <v>15</v>
      </c>
      <c r="R354" s="386">
        <f>SUM(R355:R367)</f>
        <v>387500</v>
      </c>
      <c r="S354" s="386">
        <v>15</v>
      </c>
      <c r="T354" s="386">
        <f>SUM(T355:T367)</f>
        <v>389500</v>
      </c>
      <c r="U354" s="386">
        <v>15</v>
      </c>
      <c r="V354" s="386">
        <f>SUM(V355:V367)</f>
        <v>389500</v>
      </c>
      <c r="W354" s="386">
        <v>100</v>
      </c>
      <c r="X354" s="344"/>
      <c r="Y354" s="345" t="s">
        <v>1408</v>
      </c>
    </row>
    <row r="355" spans="2:25" ht="25.5" x14ac:dyDescent="0.25">
      <c r="B355" s="1957"/>
      <c r="C355" s="359"/>
      <c r="D355" s="359"/>
      <c r="E355" s="359"/>
      <c r="F355" s="359"/>
      <c r="G355" s="338" t="s">
        <v>498</v>
      </c>
      <c r="H355" s="338" t="s">
        <v>2688</v>
      </c>
      <c r="I355" s="353" t="s">
        <v>40</v>
      </c>
      <c r="J355" s="357"/>
      <c r="K355" s="357">
        <v>12</v>
      </c>
      <c r="L355" s="357">
        <v>3000</v>
      </c>
      <c r="M355" s="357">
        <v>12</v>
      </c>
      <c r="N355" s="357">
        <v>3000</v>
      </c>
      <c r="O355" s="357">
        <v>12</v>
      </c>
      <c r="P355" s="357">
        <v>3000</v>
      </c>
      <c r="Q355" s="357">
        <v>12</v>
      </c>
      <c r="R355" s="357">
        <v>3000</v>
      </c>
      <c r="S355" s="357">
        <v>12</v>
      </c>
      <c r="T355" s="357">
        <v>3000</v>
      </c>
      <c r="U355" s="357">
        <v>12</v>
      </c>
      <c r="V355" s="357">
        <v>3000</v>
      </c>
      <c r="W355" s="357"/>
      <c r="X355" s="358"/>
      <c r="Y355" s="345" t="s">
        <v>1408</v>
      </c>
    </row>
    <row r="356" spans="2:25" ht="76.5" x14ac:dyDescent="0.25">
      <c r="B356" s="1957"/>
      <c r="C356" s="359"/>
      <c r="D356" s="359"/>
      <c r="E356" s="359"/>
      <c r="F356" s="359"/>
      <c r="G356" s="338" t="s">
        <v>500</v>
      </c>
      <c r="H356" s="338" t="s">
        <v>2689</v>
      </c>
      <c r="I356" s="353" t="s">
        <v>40</v>
      </c>
      <c r="J356" s="357"/>
      <c r="K356" s="357">
        <v>12</v>
      </c>
      <c r="L356" s="357">
        <v>47000</v>
      </c>
      <c r="M356" s="357">
        <v>12</v>
      </c>
      <c r="N356" s="357">
        <v>50000</v>
      </c>
      <c r="O356" s="357">
        <v>12</v>
      </c>
      <c r="P356" s="357">
        <v>50000</v>
      </c>
      <c r="Q356" s="357">
        <v>12</v>
      </c>
      <c r="R356" s="357">
        <v>50000</v>
      </c>
      <c r="S356" s="357">
        <v>12</v>
      </c>
      <c r="T356" s="357">
        <v>50000</v>
      </c>
      <c r="U356" s="357">
        <v>12</v>
      </c>
      <c r="V356" s="357">
        <v>50000</v>
      </c>
      <c r="W356" s="357"/>
      <c r="X356" s="358"/>
      <c r="Y356" s="345" t="s">
        <v>1408</v>
      </c>
    </row>
    <row r="357" spans="2:25" ht="102" x14ac:dyDescent="0.25">
      <c r="B357" s="1957"/>
      <c r="C357" s="359"/>
      <c r="D357" s="359"/>
      <c r="E357" s="359"/>
      <c r="F357" s="359"/>
      <c r="G357" s="338" t="s">
        <v>502</v>
      </c>
      <c r="H357" s="338" t="s">
        <v>2690</v>
      </c>
      <c r="I357" s="353" t="s">
        <v>40</v>
      </c>
      <c r="J357" s="357"/>
      <c r="K357" s="357">
        <v>12</v>
      </c>
      <c r="L357" s="357">
        <v>65000</v>
      </c>
      <c r="M357" s="357">
        <v>12</v>
      </c>
      <c r="N357" s="357">
        <v>70000</v>
      </c>
      <c r="O357" s="357">
        <v>12</v>
      </c>
      <c r="P357" s="357">
        <v>70000</v>
      </c>
      <c r="Q357" s="357">
        <v>12</v>
      </c>
      <c r="R357" s="357">
        <v>70000</v>
      </c>
      <c r="S357" s="357">
        <v>12</v>
      </c>
      <c r="T357" s="357">
        <v>70000</v>
      </c>
      <c r="U357" s="357">
        <v>12</v>
      </c>
      <c r="V357" s="357">
        <v>70000</v>
      </c>
      <c r="W357" s="357"/>
      <c r="X357" s="358"/>
      <c r="Y357" s="345" t="s">
        <v>1408</v>
      </c>
    </row>
    <row r="358" spans="2:25" ht="51" x14ac:dyDescent="0.25">
      <c r="B358" s="1957"/>
      <c r="C358" s="359"/>
      <c r="D358" s="359"/>
      <c r="E358" s="359"/>
      <c r="F358" s="359"/>
      <c r="G358" s="338" t="s">
        <v>2691</v>
      </c>
      <c r="H358" s="338" t="s">
        <v>2692</v>
      </c>
      <c r="I358" s="353" t="s">
        <v>40</v>
      </c>
      <c r="J358" s="357"/>
      <c r="K358" s="357">
        <v>12</v>
      </c>
      <c r="L358" s="357">
        <v>35000</v>
      </c>
      <c r="M358" s="357">
        <v>12</v>
      </c>
      <c r="N358" s="357">
        <v>40000</v>
      </c>
      <c r="O358" s="357">
        <v>12</v>
      </c>
      <c r="P358" s="357">
        <v>40000</v>
      </c>
      <c r="Q358" s="357">
        <v>12</v>
      </c>
      <c r="R358" s="357">
        <v>45000</v>
      </c>
      <c r="S358" s="357">
        <v>12</v>
      </c>
      <c r="T358" s="357">
        <v>45000</v>
      </c>
      <c r="U358" s="357">
        <v>12</v>
      </c>
      <c r="V358" s="357">
        <v>45000</v>
      </c>
      <c r="W358" s="357"/>
      <c r="X358" s="358"/>
      <c r="Y358" s="345" t="s">
        <v>1408</v>
      </c>
    </row>
    <row r="359" spans="2:25" ht="63.75" x14ac:dyDescent="0.25">
      <c r="B359" s="1957"/>
      <c r="C359" s="359"/>
      <c r="D359" s="359"/>
      <c r="E359" s="359"/>
      <c r="F359" s="359"/>
      <c r="G359" s="338" t="s">
        <v>506</v>
      </c>
      <c r="H359" s="338" t="s">
        <v>507</v>
      </c>
      <c r="I359" s="353" t="s">
        <v>40</v>
      </c>
      <c r="J359" s="357"/>
      <c r="K359" s="357">
        <v>12</v>
      </c>
      <c r="L359" s="357">
        <v>10000</v>
      </c>
      <c r="M359" s="357">
        <v>12</v>
      </c>
      <c r="N359" s="357">
        <v>10000</v>
      </c>
      <c r="O359" s="357">
        <v>12</v>
      </c>
      <c r="P359" s="357">
        <v>10000</v>
      </c>
      <c r="Q359" s="357">
        <v>12</v>
      </c>
      <c r="R359" s="357">
        <v>10000</v>
      </c>
      <c r="S359" s="357">
        <v>12</v>
      </c>
      <c r="T359" s="357">
        <v>10000</v>
      </c>
      <c r="U359" s="357">
        <v>12</v>
      </c>
      <c r="V359" s="357">
        <v>10000</v>
      </c>
      <c r="W359" s="357"/>
      <c r="X359" s="358"/>
      <c r="Y359" s="345" t="s">
        <v>1408</v>
      </c>
    </row>
    <row r="360" spans="2:25" ht="51" x14ac:dyDescent="0.25">
      <c r="B360" s="1957"/>
      <c r="C360" s="359"/>
      <c r="D360" s="359"/>
      <c r="E360" s="359"/>
      <c r="F360" s="359"/>
      <c r="G360" s="338" t="s">
        <v>508</v>
      </c>
      <c r="H360" s="338" t="s">
        <v>2693</v>
      </c>
      <c r="I360" s="353" t="s">
        <v>40</v>
      </c>
      <c r="J360" s="357"/>
      <c r="K360" s="357">
        <v>12</v>
      </c>
      <c r="L360" s="357">
        <v>12500</v>
      </c>
      <c r="M360" s="357">
        <v>12</v>
      </c>
      <c r="N360" s="357">
        <v>12500</v>
      </c>
      <c r="O360" s="357">
        <v>12</v>
      </c>
      <c r="P360" s="357">
        <v>12500</v>
      </c>
      <c r="Q360" s="357">
        <v>12</v>
      </c>
      <c r="R360" s="357">
        <v>12500</v>
      </c>
      <c r="S360" s="357">
        <v>12</v>
      </c>
      <c r="T360" s="357">
        <v>12500</v>
      </c>
      <c r="U360" s="357">
        <v>12</v>
      </c>
      <c r="V360" s="357">
        <v>12500</v>
      </c>
      <c r="W360" s="357"/>
      <c r="X360" s="358"/>
      <c r="Y360" s="345" t="s">
        <v>1408</v>
      </c>
    </row>
    <row r="361" spans="2:25" ht="38.25" x14ac:dyDescent="0.25">
      <c r="B361" s="1957"/>
      <c r="C361" s="359"/>
      <c r="D361" s="359"/>
      <c r="E361" s="359"/>
      <c r="F361" s="359"/>
      <c r="G361" s="338" t="s">
        <v>510</v>
      </c>
      <c r="H361" s="338" t="s">
        <v>132</v>
      </c>
      <c r="I361" s="353" t="s">
        <v>40</v>
      </c>
      <c r="J361" s="357"/>
      <c r="K361" s="357">
        <v>12</v>
      </c>
      <c r="L361" s="357">
        <v>28500</v>
      </c>
      <c r="M361" s="357">
        <v>12</v>
      </c>
      <c r="N361" s="357">
        <v>25000</v>
      </c>
      <c r="O361" s="357">
        <v>12</v>
      </c>
      <c r="P361" s="357">
        <v>25000</v>
      </c>
      <c r="Q361" s="357">
        <v>12</v>
      </c>
      <c r="R361" s="357">
        <v>25000</v>
      </c>
      <c r="S361" s="357">
        <v>12</v>
      </c>
      <c r="T361" s="357">
        <v>25000</v>
      </c>
      <c r="U361" s="357">
        <v>12</v>
      </c>
      <c r="V361" s="357">
        <v>25000</v>
      </c>
      <c r="W361" s="357"/>
      <c r="X361" s="358"/>
      <c r="Y361" s="345" t="s">
        <v>1408</v>
      </c>
    </row>
    <row r="362" spans="2:25" ht="51" x14ac:dyDescent="0.25">
      <c r="B362" s="1957"/>
      <c r="C362" s="359"/>
      <c r="D362" s="359"/>
      <c r="E362" s="359"/>
      <c r="F362" s="359"/>
      <c r="G362" s="338" t="s">
        <v>511</v>
      </c>
      <c r="H362" s="338" t="s">
        <v>512</v>
      </c>
      <c r="I362" s="353" t="s">
        <v>40</v>
      </c>
      <c r="J362" s="357"/>
      <c r="K362" s="357">
        <v>12</v>
      </c>
      <c r="L362" s="357">
        <v>14000</v>
      </c>
      <c r="M362" s="357">
        <v>12</v>
      </c>
      <c r="N362" s="357">
        <v>15000</v>
      </c>
      <c r="O362" s="357">
        <v>12</v>
      </c>
      <c r="P362" s="357">
        <v>15000</v>
      </c>
      <c r="Q362" s="357">
        <v>12</v>
      </c>
      <c r="R362" s="357">
        <v>15000</v>
      </c>
      <c r="S362" s="357">
        <v>12</v>
      </c>
      <c r="T362" s="357">
        <v>15000</v>
      </c>
      <c r="U362" s="357">
        <v>12</v>
      </c>
      <c r="V362" s="357">
        <v>15000</v>
      </c>
      <c r="W362" s="357"/>
      <c r="X362" s="358"/>
      <c r="Y362" s="345" t="s">
        <v>1408</v>
      </c>
    </row>
    <row r="363" spans="2:25" ht="76.5" x14ac:dyDescent="0.25">
      <c r="B363" s="1957"/>
      <c r="C363" s="359"/>
      <c r="D363" s="359"/>
      <c r="E363" s="359"/>
      <c r="F363" s="359"/>
      <c r="G363" s="338" t="s">
        <v>513</v>
      </c>
      <c r="H363" s="338" t="s">
        <v>514</v>
      </c>
      <c r="I363" s="353" t="s">
        <v>40</v>
      </c>
      <c r="J363" s="357"/>
      <c r="K363" s="357">
        <v>12</v>
      </c>
      <c r="L363" s="357">
        <v>4000</v>
      </c>
      <c r="M363" s="357">
        <v>12</v>
      </c>
      <c r="N363" s="357">
        <v>4500</v>
      </c>
      <c r="O363" s="357">
        <v>12</v>
      </c>
      <c r="P363" s="357">
        <v>4500</v>
      </c>
      <c r="Q363" s="357">
        <v>12</v>
      </c>
      <c r="R363" s="357">
        <v>4500</v>
      </c>
      <c r="S363" s="357">
        <v>12</v>
      </c>
      <c r="T363" s="357">
        <v>4500</v>
      </c>
      <c r="U363" s="357">
        <v>12</v>
      </c>
      <c r="V363" s="357">
        <v>4500</v>
      </c>
      <c r="W363" s="357"/>
      <c r="X363" s="358"/>
      <c r="Y363" s="345" t="s">
        <v>1408</v>
      </c>
    </row>
    <row r="364" spans="2:25" ht="38.25" x14ac:dyDescent="0.25">
      <c r="B364" s="1957"/>
      <c r="C364" s="359"/>
      <c r="D364" s="359"/>
      <c r="E364" s="359"/>
      <c r="F364" s="359"/>
      <c r="G364" s="338" t="s">
        <v>515</v>
      </c>
      <c r="H364" s="338" t="s">
        <v>2694</v>
      </c>
      <c r="I364" s="353" t="s">
        <v>40</v>
      </c>
      <c r="J364" s="357"/>
      <c r="K364" s="357">
        <v>12</v>
      </c>
      <c r="L364" s="357">
        <v>3700</v>
      </c>
      <c r="M364" s="357">
        <v>12</v>
      </c>
      <c r="N364" s="357">
        <v>4000</v>
      </c>
      <c r="O364" s="357">
        <v>12</v>
      </c>
      <c r="P364" s="357">
        <v>4500</v>
      </c>
      <c r="Q364" s="357">
        <v>12</v>
      </c>
      <c r="R364" s="357">
        <v>4500</v>
      </c>
      <c r="S364" s="357">
        <v>12</v>
      </c>
      <c r="T364" s="357">
        <v>4500</v>
      </c>
      <c r="U364" s="357">
        <v>12</v>
      </c>
      <c r="V364" s="357">
        <v>4500</v>
      </c>
      <c r="W364" s="357"/>
      <c r="X364" s="358"/>
      <c r="Y364" s="345" t="s">
        <v>1408</v>
      </c>
    </row>
    <row r="365" spans="2:25" ht="51" x14ac:dyDescent="0.25">
      <c r="B365" s="1957"/>
      <c r="C365" s="359"/>
      <c r="D365" s="359"/>
      <c r="E365" s="359"/>
      <c r="F365" s="359"/>
      <c r="G365" s="338" t="s">
        <v>517</v>
      </c>
      <c r="H365" s="338" t="s">
        <v>2695</v>
      </c>
      <c r="I365" s="353" t="s">
        <v>40</v>
      </c>
      <c r="J365" s="357"/>
      <c r="K365" s="357">
        <v>12</v>
      </c>
      <c r="L365" s="357">
        <v>14000</v>
      </c>
      <c r="M365" s="357">
        <v>12</v>
      </c>
      <c r="N365" s="357">
        <v>15000</v>
      </c>
      <c r="O365" s="357">
        <v>12</v>
      </c>
      <c r="P365" s="357">
        <v>16500</v>
      </c>
      <c r="Q365" s="357">
        <v>12</v>
      </c>
      <c r="R365" s="357">
        <v>18000</v>
      </c>
      <c r="S365" s="357">
        <v>12</v>
      </c>
      <c r="T365" s="357">
        <v>20000</v>
      </c>
      <c r="U365" s="357">
        <v>12</v>
      </c>
      <c r="V365" s="357">
        <v>20000</v>
      </c>
      <c r="W365" s="357"/>
      <c r="X365" s="358"/>
      <c r="Y365" s="345" t="s">
        <v>1408</v>
      </c>
    </row>
    <row r="366" spans="2:25" ht="76.5" x14ac:dyDescent="0.25">
      <c r="B366" s="1957"/>
      <c r="C366" s="359"/>
      <c r="D366" s="359"/>
      <c r="E366" s="359"/>
      <c r="F366" s="359"/>
      <c r="G366" s="338" t="s">
        <v>519</v>
      </c>
      <c r="H366" s="338" t="s">
        <v>2696</v>
      </c>
      <c r="I366" s="353" t="s">
        <v>40</v>
      </c>
      <c r="J366" s="357"/>
      <c r="K366" s="357">
        <v>12</v>
      </c>
      <c r="L366" s="357">
        <v>65000</v>
      </c>
      <c r="M366" s="357">
        <v>12</v>
      </c>
      <c r="N366" s="357">
        <v>70000</v>
      </c>
      <c r="O366" s="357">
        <v>12</v>
      </c>
      <c r="P366" s="357">
        <v>70000</v>
      </c>
      <c r="Q366" s="357">
        <v>12</v>
      </c>
      <c r="R366" s="357">
        <v>70000</v>
      </c>
      <c r="S366" s="357">
        <v>12</v>
      </c>
      <c r="T366" s="357">
        <v>70000</v>
      </c>
      <c r="U366" s="357">
        <v>12</v>
      </c>
      <c r="V366" s="357">
        <v>70000</v>
      </c>
      <c r="W366" s="357"/>
      <c r="X366" s="358"/>
      <c r="Y366" s="345" t="s">
        <v>1408</v>
      </c>
    </row>
    <row r="367" spans="2:25" ht="76.5" x14ac:dyDescent="0.25">
      <c r="B367" s="1957"/>
      <c r="C367" s="359"/>
      <c r="D367" s="359"/>
      <c r="E367" s="359"/>
      <c r="F367" s="359"/>
      <c r="G367" s="338" t="s">
        <v>521</v>
      </c>
      <c r="H367" s="338" t="s">
        <v>2697</v>
      </c>
      <c r="I367" s="353" t="s">
        <v>40</v>
      </c>
      <c r="J367" s="357"/>
      <c r="K367" s="357">
        <v>12</v>
      </c>
      <c r="L367" s="357">
        <v>55000</v>
      </c>
      <c r="M367" s="357">
        <v>12</v>
      </c>
      <c r="N367" s="357">
        <v>60000</v>
      </c>
      <c r="O367" s="357">
        <v>12</v>
      </c>
      <c r="P367" s="357">
        <v>60000</v>
      </c>
      <c r="Q367" s="357">
        <v>12</v>
      </c>
      <c r="R367" s="357">
        <v>60000</v>
      </c>
      <c r="S367" s="357">
        <v>12</v>
      </c>
      <c r="T367" s="357">
        <v>60000</v>
      </c>
      <c r="U367" s="357">
        <v>12</v>
      </c>
      <c r="V367" s="357">
        <v>60000</v>
      </c>
      <c r="W367" s="357"/>
      <c r="X367" s="358"/>
      <c r="Y367" s="345" t="s">
        <v>1408</v>
      </c>
    </row>
    <row r="368" spans="2:25" ht="72" x14ac:dyDescent="0.25">
      <c r="B368" s="1957"/>
      <c r="C368" s="359"/>
      <c r="D368" s="359"/>
      <c r="E368" s="359"/>
      <c r="F368" s="350"/>
      <c r="G368" s="373" t="s">
        <v>65</v>
      </c>
      <c r="H368" s="373" t="s">
        <v>1497</v>
      </c>
      <c r="I368" s="341" t="s">
        <v>19</v>
      </c>
      <c r="J368" s="386">
        <v>100</v>
      </c>
      <c r="K368" s="386">
        <v>20</v>
      </c>
      <c r="L368" s="386">
        <f>SUM(L369:L375)</f>
        <v>107000</v>
      </c>
      <c r="M368" s="386">
        <v>20</v>
      </c>
      <c r="N368" s="386">
        <f>SUM(N369:N375)</f>
        <v>105000</v>
      </c>
      <c r="O368" s="386">
        <v>15</v>
      </c>
      <c r="P368" s="386">
        <f>SUM(P369:P375)</f>
        <v>70000</v>
      </c>
      <c r="Q368" s="386">
        <v>15</v>
      </c>
      <c r="R368" s="386">
        <f>SUM(R369:R375)</f>
        <v>110000</v>
      </c>
      <c r="S368" s="386">
        <v>15</v>
      </c>
      <c r="T368" s="386">
        <f>SUM(T369:T375)</f>
        <v>110000</v>
      </c>
      <c r="U368" s="386">
        <v>25</v>
      </c>
      <c r="V368" s="386">
        <f>SUM(V369:V375)</f>
        <v>110000</v>
      </c>
      <c r="W368" s="386">
        <v>100</v>
      </c>
      <c r="X368" s="344"/>
      <c r="Y368" s="345" t="s">
        <v>1408</v>
      </c>
    </row>
    <row r="369" spans="2:25" ht="25.5" x14ac:dyDescent="0.25">
      <c r="B369" s="1957"/>
      <c r="C369" s="359"/>
      <c r="D369" s="359"/>
      <c r="E369" s="359"/>
      <c r="F369" s="359"/>
      <c r="G369" s="1963" t="s">
        <v>529</v>
      </c>
      <c r="H369" s="338" t="s">
        <v>2698</v>
      </c>
      <c r="I369" s="353" t="s">
        <v>75</v>
      </c>
      <c r="J369" s="357">
        <v>26</v>
      </c>
      <c r="K369" s="357">
        <v>28</v>
      </c>
      <c r="L369" s="363">
        <v>34000</v>
      </c>
      <c r="M369" s="357">
        <v>30</v>
      </c>
      <c r="N369" s="394">
        <v>35000</v>
      </c>
      <c r="O369" s="361">
        <v>30</v>
      </c>
      <c r="P369" s="394">
        <v>35000</v>
      </c>
      <c r="Q369" s="357">
        <v>30</v>
      </c>
      <c r="R369" s="394">
        <v>40000</v>
      </c>
      <c r="S369" s="357">
        <v>30</v>
      </c>
      <c r="T369" s="394">
        <v>40000</v>
      </c>
      <c r="U369" s="357">
        <v>30</v>
      </c>
      <c r="V369" s="394">
        <v>40000</v>
      </c>
      <c r="W369" s="357"/>
      <c r="X369" s="358"/>
      <c r="Y369" s="345" t="s">
        <v>1408</v>
      </c>
    </row>
    <row r="370" spans="2:25" ht="25.5" x14ac:dyDescent="0.25">
      <c r="B370" s="1957"/>
      <c r="C370" s="359"/>
      <c r="D370" s="359"/>
      <c r="E370" s="359"/>
      <c r="F370" s="359"/>
      <c r="G370" s="1963"/>
      <c r="H370" s="338" t="s">
        <v>2699</v>
      </c>
      <c r="I370" s="353" t="s">
        <v>75</v>
      </c>
      <c r="J370" s="357">
        <v>2</v>
      </c>
      <c r="K370" s="357">
        <v>3</v>
      </c>
      <c r="L370" s="363"/>
      <c r="M370" s="357">
        <v>4</v>
      </c>
      <c r="N370" s="395"/>
      <c r="O370" s="357">
        <v>5</v>
      </c>
      <c r="P370" s="395"/>
      <c r="Q370" s="357">
        <v>5</v>
      </c>
      <c r="R370" s="395"/>
      <c r="S370" s="357">
        <v>5</v>
      </c>
      <c r="T370" s="395"/>
      <c r="U370" s="357">
        <v>5</v>
      </c>
      <c r="V370" s="395"/>
      <c r="W370" s="357"/>
      <c r="X370" s="358"/>
      <c r="Y370" s="345" t="s">
        <v>1408</v>
      </c>
    </row>
    <row r="371" spans="2:25" ht="25.5" x14ac:dyDescent="0.25">
      <c r="B371" s="1957"/>
      <c r="C371" s="359"/>
      <c r="D371" s="359"/>
      <c r="E371" s="359"/>
      <c r="F371" s="359"/>
      <c r="G371" s="1963" t="s">
        <v>531</v>
      </c>
      <c r="H371" s="352" t="s">
        <v>2700</v>
      </c>
      <c r="I371" s="353" t="s">
        <v>75</v>
      </c>
      <c r="J371" s="357">
        <v>83</v>
      </c>
      <c r="K371" s="357">
        <v>133</v>
      </c>
      <c r="L371" s="1984">
        <v>37000</v>
      </c>
      <c r="M371" s="357">
        <v>183</v>
      </c>
      <c r="N371" s="1984">
        <v>35000</v>
      </c>
      <c r="O371" s="357">
        <v>200</v>
      </c>
      <c r="P371" s="1984"/>
      <c r="Q371" s="357">
        <v>200</v>
      </c>
      <c r="R371" s="1984">
        <v>35000</v>
      </c>
      <c r="S371" s="357">
        <v>200</v>
      </c>
      <c r="T371" s="1984">
        <v>35000</v>
      </c>
      <c r="U371" s="357">
        <v>200</v>
      </c>
      <c r="V371" s="1984">
        <v>35000</v>
      </c>
      <c r="W371" s="357"/>
      <c r="X371" s="358"/>
      <c r="Y371" s="345" t="s">
        <v>1408</v>
      </c>
    </row>
    <row r="372" spans="2:25" ht="25.5" x14ac:dyDescent="0.25">
      <c r="B372" s="1957"/>
      <c r="C372" s="359"/>
      <c r="D372" s="359"/>
      <c r="E372" s="359"/>
      <c r="F372" s="359"/>
      <c r="G372" s="1963"/>
      <c r="H372" s="352" t="s">
        <v>2701</v>
      </c>
      <c r="I372" s="353" t="s">
        <v>75</v>
      </c>
      <c r="J372" s="357">
        <v>9</v>
      </c>
      <c r="K372" s="357">
        <v>11</v>
      </c>
      <c r="L372" s="1984"/>
      <c r="M372" s="357">
        <v>12</v>
      </c>
      <c r="N372" s="1984"/>
      <c r="O372" s="357">
        <v>12</v>
      </c>
      <c r="P372" s="1984"/>
      <c r="Q372" s="357">
        <v>12</v>
      </c>
      <c r="R372" s="1984"/>
      <c r="S372" s="357">
        <v>12</v>
      </c>
      <c r="T372" s="1984"/>
      <c r="U372" s="357">
        <v>12</v>
      </c>
      <c r="V372" s="1984"/>
      <c r="W372" s="357"/>
      <c r="X372" s="358"/>
      <c r="Y372" s="345" t="s">
        <v>1408</v>
      </c>
    </row>
    <row r="373" spans="2:25" ht="25.5" x14ac:dyDescent="0.25">
      <c r="B373" s="1957"/>
      <c r="C373" s="359"/>
      <c r="D373" s="359"/>
      <c r="E373" s="359"/>
      <c r="F373" s="359"/>
      <c r="G373" s="1963"/>
      <c r="H373" s="352" t="s">
        <v>2702</v>
      </c>
      <c r="I373" s="353" t="s">
        <v>75</v>
      </c>
      <c r="J373" s="357">
        <v>0</v>
      </c>
      <c r="K373" s="357">
        <v>2</v>
      </c>
      <c r="L373" s="1984"/>
      <c r="M373" s="357">
        <v>4</v>
      </c>
      <c r="N373" s="1984"/>
      <c r="O373" s="357">
        <v>6</v>
      </c>
      <c r="P373" s="1984"/>
      <c r="Q373" s="357">
        <v>6</v>
      </c>
      <c r="R373" s="1984"/>
      <c r="S373" s="357">
        <v>6</v>
      </c>
      <c r="T373" s="1984"/>
      <c r="U373" s="357">
        <v>6</v>
      </c>
      <c r="V373" s="1984"/>
      <c r="W373" s="357"/>
      <c r="X373" s="358"/>
      <c r="Y373" s="345" t="s">
        <v>1408</v>
      </c>
    </row>
    <row r="374" spans="2:25" ht="51" x14ac:dyDescent="0.25">
      <c r="B374" s="1957"/>
      <c r="C374" s="359"/>
      <c r="D374" s="359"/>
      <c r="E374" s="359"/>
      <c r="F374" s="359"/>
      <c r="G374" s="338" t="s">
        <v>535</v>
      </c>
      <c r="H374" s="338" t="s">
        <v>536</v>
      </c>
      <c r="I374" s="353" t="s">
        <v>40</v>
      </c>
      <c r="J374" s="357"/>
      <c r="K374" s="357">
        <v>12</v>
      </c>
      <c r="L374" s="357">
        <v>20000</v>
      </c>
      <c r="M374" s="357">
        <v>12</v>
      </c>
      <c r="N374" s="357">
        <v>20000</v>
      </c>
      <c r="O374" s="357">
        <v>12</v>
      </c>
      <c r="P374" s="357">
        <v>20000</v>
      </c>
      <c r="Q374" s="357">
        <v>12</v>
      </c>
      <c r="R374" s="357">
        <v>20000</v>
      </c>
      <c r="S374" s="357">
        <v>12</v>
      </c>
      <c r="T374" s="357">
        <v>20000</v>
      </c>
      <c r="U374" s="357">
        <v>12</v>
      </c>
      <c r="V374" s="357">
        <v>20000</v>
      </c>
      <c r="W374" s="357"/>
      <c r="X374" s="358"/>
      <c r="Y374" s="345" t="s">
        <v>1408</v>
      </c>
    </row>
    <row r="375" spans="2:25" ht="76.5" x14ac:dyDescent="0.25">
      <c r="B375" s="1957"/>
      <c r="C375" s="359"/>
      <c r="D375" s="359"/>
      <c r="E375" s="359"/>
      <c r="F375" s="359"/>
      <c r="G375" s="338" t="s">
        <v>2703</v>
      </c>
      <c r="H375" s="338" t="s">
        <v>2704</v>
      </c>
      <c r="I375" s="353" t="s">
        <v>40</v>
      </c>
      <c r="J375" s="357"/>
      <c r="K375" s="357">
        <v>12</v>
      </c>
      <c r="L375" s="357">
        <v>16000</v>
      </c>
      <c r="M375" s="357">
        <v>12</v>
      </c>
      <c r="N375" s="357">
        <v>15000</v>
      </c>
      <c r="O375" s="357">
        <v>12</v>
      </c>
      <c r="P375" s="357">
        <v>15000</v>
      </c>
      <c r="Q375" s="357">
        <v>12</v>
      </c>
      <c r="R375" s="357">
        <v>15000</v>
      </c>
      <c r="S375" s="357">
        <v>12</v>
      </c>
      <c r="T375" s="357">
        <v>15000</v>
      </c>
      <c r="U375" s="357">
        <v>12</v>
      </c>
      <c r="V375" s="357">
        <v>15000</v>
      </c>
      <c r="W375" s="357"/>
      <c r="X375" s="358"/>
      <c r="Y375" s="345" t="s">
        <v>1408</v>
      </c>
    </row>
    <row r="376" spans="2:25" ht="72" x14ac:dyDescent="0.25">
      <c r="B376" s="1957"/>
      <c r="C376" s="359"/>
      <c r="D376" s="359"/>
      <c r="E376" s="359"/>
      <c r="F376" s="350"/>
      <c r="G376" s="373" t="s">
        <v>408</v>
      </c>
      <c r="H376" s="373" t="s">
        <v>78</v>
      </c>
      <c r="I376" s="341" t="s">
        <v>79</v>
      </c>
      <c r="J376" s="342">
        <v>25</v>
      </c>
      <c r="K376" s="351">
        <v>5</v>
      </c>
      <c r="L376" s="348">
        <f>SUM(L377)</f>
        <v>150000</v>
      </c>
      <c r="M376" s="351">
        <v>5</v>
      </c>
      <c r="N376" s="348">
        <f>SUM(N377)</f>
        <v>160000</v>
      </c>
      <c r="O376" s="351">
        <v>5</v>
      </c>
      <c r="P376" s="348">
        <f>SUM(P377)</f>
        <v>170000</v>
      </c>
      <c r="Q376" s="351">
        <v>5</v>
      </c>
      <c r="R376" s="348">
        <f>SUM(R377)</f>
        <v>180000</v>
      </c>
      <c r="S376" s="351">
        <v>5</v>
      </c>
      <c r="T376" s="348">
        <f>SUM(T377)</f>
        <v>190000</v>
      </c>
      <c r="U376" s="351">
        <v>5</v>
      </c>
      <c r="V376" s="348">
        <f>SUM(V377)</f>
        <v>190000</v>
      </c>
      <c r="W376" s="386">
        <v>30</v>
      </c>
      <c r="X376" s="344"/>
      <c r="Y376" s="345" t="s">
        <v>1408</v>
      </c>
    </row>
    <row r="377" spans="2:25" ht="102" x14ac:dyDescent="0.25">
      <c r="B377" s="1957"/>
      <c r="C377" s="359"/>
      <c r="D377" s="359"/>
      <c r="E377" s="359"/>
      <c r="F377" s="359"/>
      <c r="G377" s="338" t="s">
        <v>539</v>
      </c>
      <c r="H377" s="338" t="s">
        <v>2705</v>
      </c>
      <c r="I377" s="353" t="s">
        <v>79</v>
      </c>
      <c r="J377" s="354">
        <v>9</v>
      </c>
      <c r="K377" s="385">
        <v>9</v>
      </c>
      <c r="L377" s="360">
        <v>150000</v>
      </c>
      <c r="M377" s="385">
        <v>8</v>
      </c>
      <c r="N377" s="360">
        <v>160000</v>
      </c>
      <c r="O377" s="385">
        <v>8</v>
      </c>
      <c r="P377" s="360">
        <v>170000</v>
      </c>
      <c r="Q377" s="385">
        <v>8</v>
      </c>
      <c r="R377" s="360">
        <v>180000</v>
      </c>
      <c r="S377" s="385">
        <v>8</v>
      </c>
      <c r="T377" s="360">
        <v>190000</v>
      </c>
      <c r="U377" s="385">
        <v>8</v>
      </c>
      <c r="V377" s="360">
        <v>190000</v>
      </c>
      <c r="W377" s="357"/>
      <c r="X377" s="358"/>
      <c r="Y377" s="345" t="s">
        <v>1408</v>
      </c>
    </row>
    <row r="378" spans="2:25" ht="60" x14ac:dyDescent="0.25">
      <c r="B378" s="1957"/>
      <c r="C378" s="359"/>
      <c r="D378" s="359"/>
      <c r="E378" s="359"/>
      <c r="F378" s="350"/>
      <c r="G378" s="373" t="s">
        <v>3210</v>
      </c>
      <c r="H378" s="373" t="s">
        <v>3111</v>
      </c>
      <c r="I378" s="341" t="s">
        <v>79</v>
      </c>
      <c r="J378" s="342">
        <v>0</v>
      </c>
      <c r="K378" s="351">
        <v>1</v>
      </c>
      <c r="L378" s="348">
        <f>SUM(L379)</f>
        <v>50000</v>
      </c>
      <c r="M378" s="351">
        <v>1</v>
      </c>
      <c r="N378" s="348">
        <f>SUM(N379)</f>
        <v>50000</v>
      </c>
      <c r="O378" s="351">
        <v>1</v>
      </c>
      <c r="P378" s="348">
        <f>SUM(P379)</f>
        <v>50000</v>
      </c>
      <c r="Q378" s="351">
        <v>1</v>
      </c>
      <c r="R378" s="348">
        <f>SUM(R379)</f>
        <v>50000</v>
      </c>
      <c r="S378" s="351">
        <v>1</v>
      </c>
      <c r="T378" s="348">
        <f>SUM(T379)</f>
        <v>50000</v>
      </c>
      <c r="U378" s="351">
        <v>1</v>
      </c>
      <c r="V378" s="348">
        <f>SUM(V379)</f>
        <v>50000</v>
      </c>
      <c r="W378" s="386">
        <v>6</v>
      </c>
      <c r="X378" s="344"/>
      <c r="Y378" s="345" t="s">
        <v>1408</v>
      </c>
    </row>
    <row r="379" spans="2:25" ht="76.5" x14ac:dyDescent="0.25">
      <c r="B379" s="1957"/>
      <c r="C379" s="379"/>
      <c r="D379" s="379"/>
      <c r="E379" s="379"/>
      <c r="F379" s="379"/>
      <c r="G379" s="338" t="s">
        <v>169</v>
      </c>
      <c r="H379" s="338" t="s">
        <v>2706</v>
      </c>
      <c r="I379" s="353" t="s">
        <v>79</v>
      </c>
      <c r="J379" s="354"/>
      <c r="K379" s="385">
        <v>1</v>
      </c>
      <c r="L379" s="360">
        <v>50000</v>
      </c>
      <c r="M379" s="385">
        <v>1</v>
      </c>
      <c r="N379" s="360">
        <v>50000</v>
      </c>
      <c r="O379" s="385">
        <v>1</v>
      </c>
      <c r="P379" s="360">
        <v>50000</v>
      </c>
      <c r="Q379" s="385">
        <v>1</v>
      </c>
      <c r="R379" s="360">
        <v>50000</v>
      </c>
      <c r="S379" s="385">
        <v>1</v>
      </c>
      <c r="T379" s="360">
        <v>50000</v>
      </c>
      <c r="U379" s="385">
        <v>1</v>
      </c>
      <c r="V379" s="360">
        <v>50000</v>
      </c>
      <c r="W379" s="357"/>
      <c r="X379" s="358"/>
      <c r="Y379" s="345" t="s">
        <v>1408</v>
      </c>
    </row>
    <row r="380" spans="2:25" ht="13.5" thickBot="1" x14ac:dyDescent="0.3">
      <c r="B380" s="396"/>
      <c r="C380" s="1985"/>
      <c r="D380" s="1985"/>
      <c r="E380" s="1985"/>
      <c r="F380" s="1985"/>
      <c r="G380" s="398"/>
      <c r="H380" s="398"/>
      <c r="I380" s="397"/>
      <c r="J380" s="399"/>
      <c r="K380" s="400"/>
      <c r="L380" s="401">
        <f>SUM(L322:L379)/2</f>
        <v>7548805</v>
      </c>
      <c r="M380" s="400"/>
      <c r="N380" s="401">
        <f>SUM(N322:N379)/2</f>
        <v>93853245</v>
      </c>
      <c r="O380" s="400"/>
      <c r="P380" s="401">
        <f>SUM(P322:P379)/2</f>
        <v>13090044</v>
      </c>
      <c r="Q380" s="400"/>
      <c r="R380" s="401">
        <f>SUM(R322:R379)/2</f>
        <v>13389068.5</v>
      </c>
      <c r="S380" s="400"/>
      <c r="T380" s="401">
        <f>SUM(T322:T379)/2</f>
        <v>10506825.5</v>
      </c>
      <c r="U380" s="400"/>
      <c r="V380" s="401">
        <f>SUM(V322:V379)/2</f>
        <v>10087024.5</v>
      </c>
      <c r="W380" s="401"/>
      <c r="X380" s="402"/>
      <c r="Y380" s="402"/>
    </row>
    <row r="381" spans="2:25" ht="13.5" thickTop="1" x14ac:dyDescent="0.25">
      <c r="L381" s="654"/>
    </row>
    <row r="382" spans="2:25" ht="13.5" thickBot="1" x14ac:dyDescent="0.3">
      <c r="B382" s="246" t="s">
        <v>1425</v>
      </c>
    </row>
    <row r="383" spans="2:25" s="219" customFormat="1" thickTop="1" x14ac:dyDescent="0.2">
      <c r="B383" s="1932" t="s">
        <v>1</v>
      </c>
      <c r="C383" s="1934" t="s">
        <v>2</v>
      </c>
      <c r="D383" s="1934" t="s">
        <v>3</v>
      </c>
      <c r="E383" s="1934" t="s">
        <v>4</v>
      </c>
      <c r="F383" s="1934" t="s">
        <v>5</v>
      </c>
      <c r="G383" s="1934" t="s">
        <v>6</v>
      </c>
      <c r="H383" s="1934" t="s">
        <v>1854</v>
      </c>
      <c r="I383" s="1934" t="s">
        <v>31</v>
      </c>
      <c r="J383" s="1936" t="s">
        <v>1855</v>
      </c>
      <c r="K383" s="1934" t="s">
        <v>7</v>
      </c>
      <c r="L383" s="1934"/>
      <c r="M383" s="1934"/>
      <c r="N383" s="1934"/>
      <c r="O383" s="1934"/>
      <c r="P383" s="1934"/>
      <c r="Q383" s="1934"/>
      <c r="R383" s="1934"/>
      <c r="S383" s="1934"/>
      <c r="T383" s="1934"/>
      <c r="U383" s="1934"/>
      <c r="V383" s="1934"/>
      <c r="W383" s="1934"/>
      <c r="X383" s="1934" t="s">
        <v>8</v>
      </c>
      <c r="Y383" s="1938" t="s">
        <v>1856</v>
      </c>
    </row>
    <row r="384" spans="2:25" s="219" customFormat="1" ht="12" x14ac:dyDescent="0.2">
      <c r="B384" s="1933"/>
      <c r="C384" s="1935"/>
      <c r="D384" s="1935"/>
      <c r="E384" s="1935"/>
      <c r="F384" s="1935"/>
      <c r="G384" s="1935"/>
      <c r="H384" s="1935"/>
      <c r="I384" s="1935"/>
      <c r="J384" s="1937"/>
      <c r="K384" s="1935">
        <v>2016</v>
      </c>
      <c r="L384" s="1935"/>
      <c r="M384" s="1935">
        <v>2017</v>
      </c>
      <c r="N384" s="1935"/>
      <c r="O384" s="1935">
        <v>2018</v>
      </c>
      <c r="P384" s="1935"/>
      <c r="Q384" s="1935">
        <v>2019</v>
      </c>
      <c r="R384" s="1935"/>
      <c r="S384" s="1935">
        <v>2020</v>
      </c>
      <c r="T384" s="1935"/>
      <c r="U384" s="1935">
        <v>2021</v>
      </c>
      <c r="V384" s="1935"/>
      <c r="W384" s="1940" t="s">
        <v>1857</v>
      </c>
      <c r="X384" s="1935"/>
      <c r="Y384" s="1939"/>
    </row>
    <row r="385" spans="2:25" s="219" customFormat="1" ht="12" x14ac:dyDescent="0.2">
      <c r="B385" s="1933"/>
      <c r="C385" s="1935"/>
      <c r="D385" s="1935"/>
      <c r="E385" s="1935"/>
      <c r="F385" s="1935"/>
      <c r="G385" s="1935"/>
      <c r="H385" s="1935"/>
      <c r="I385" s="1935"/>
      <c r="J385" s="1937"/>
      <c r="K385" s="707" t="s">
        <v>1858</v>
      </c>
      <c r="L385" s="1889" t="s">
        <v>1355</v>
      </c>
      <c r="M385" s="844" t="s">
        <v>1858</v>
      </c>
      <c r="N385" s="1889" t="s">
        <v>1355</v>
      </c>
      <c r="O385" s="844" t="s">
        <v>1858</v>
      </c>
      <c r="P385" s="1889" t="s">
        <v>1355</v>
      </c>
      <c r="Q385" s="844" t="s">
        <v>1858</v>
      </c>
      <c r="R385" s="1889" t="s">
        <v>1355</v>
      </c>
      <c r="S385" s="844" t="s">
        <v>1858</v>
      </c>
      <c r="T385" s="1889" t="s">
        <v>1355</v>
      </c>
      <c r="U385" s="844" t="s">
        <v>1858</v>
      </c>
      <c r="V385" s="1889" t="s">
        <v>1355</v>
      </c>
      <c r="W385" s="1940"/>
      <c r="X385" s="1935"/>
      <c r="Y385" s="1939"/>
    </row>
    <row r="386" spans="2:25" ht="48" customHeight="1" x14ac:dyDescent="0.25">
      <c r="B386" s="1849" t="s">
        <v>1688</v>
      </c>
      <c r="C386" s="1974" t="s">
        <v>4071</v>
      </c>
      <c r="D386" s="1974" t="s">
        <v>4035</v>
      </c>
      <c r="E386" s="217" t="s">
        <v>4072</v>
      </c>
      <c r="F386" s="685" t="s">
        <v>4075</v>
      </c>
      <c r="G386" s="976" t="s">
        <v>4073</v>
      </c>
      <c r="H386" s="655"/>
      <c r="I386" s="655"/>
      <c r="J386" s="1791">
        <v>188450.04200000002</v>
      </c>
      <c r="K386" s="1791">
        <v>188913.62699999998</v>
      </c>
      <c r="L386" s="655"/>
      <c r="M386" s="1791">
        <v>189359.18399999998</v>
      </c>
      <c r="N386" s="655"/>
      <c r="O386" s="1791">
        <v>189433.54699999999</v>
      </c>
      <c r="P386" s="535"/>
      <c r="Q386" s="1791">
        <v>189528.91500000001</v>
      </c>
      <c r="R386" s="535"/>
      <c r="S386" s="1791">
        <v>189945.1262</v>
      </c>
      <c r="T386" s="535"/>
      <c r="U386" s="1791">
        <v>190225.4222</v>
      </c>
      <c r="V386" s="535"/>
      <c r="W386" s="1791">
        <v>190225.4222</v>
      </c>
      <c r="X386" s="655"/>
      <c r="Y386" s="1111" t="s">
        <v>1425</v>
      </c>
    </row>
    <row r="387" spans="2:25" ht="48" customHeight="1" x14ac:dyDescent="0.25">
      <c r="B387" s="1850"/>
      <c r="C387" s="1975"/>
      <c r="D387" s="1975"/>
      <c r="E387" s="18"/>
      <c r="F387" s="685" t="s">
        <v>4076</v>
      </c>
      <c r="G387" s="976" t="s">
        <v>4074</v>
      </c>
      <c r="H387" s="655"/>
      <c r="I387" s="655"/>
      <c r="J387" s="1791">
        <v>311.87200000000001</v>
      </c>
      <c r="K387" s="1791">
        <v>347.76</v>
      </c>
      <c r="L387" s="655"/>
      <c r="M387" s="1791">
        <v>358.77499999999998</v>
      </c>
      <c r="N387" s="655"/>
      <c r="O387" s="1791">
        <v>382.47</v>
      </c>
      <c r="P387" s="535"/>
      <c r="Q387" s="1791">
        <v>395.02499999999998</v>
      </c>
      <c r="R387" s="535"/>
      <c r="S387" s="1791">
        <v>408.68</v>
      </c>
      <c r="T387" s="535"/>
      <c r="U387" s="1791">
        <v>415.35</v>
      </c>
      <c r="V387" s="535"/>
      <c r="W387" s="1791">
        <v>415.35</v>
      </c>
      <c r="X387" s="655"/>
      <c r="Y387" s="1111"/>
    </row>
    <row r="388" spans="2:25" ht="36" customHeight="1" x14ac:dyDescent="0.25">
      <c r="B388" s="1850"/>
      <c r="C388" s="1975"/>
      <c r="D388" s="1975"/>
      <c r="E388" s="19"/>
      <c r="F388" s="18"/>
      <c r="G388" s="212" t="s">
        <v>3689</v>
      </c>
      <c r="H388" s="211" t="s">
        <v>3690</v>
      </c>
      <c r="I388" s="215" t="s">
        <v>1426</v>
      </c>
      <c r="J388" s="1107">
        <v>633.83094100000005</v>
      </c>
      <c r="K388" s="1108">
        <v>640.16925000000003</v>
      </c>
      <c r="L388" s="1109">
        <f>L390+L398+L402</f>
        <v>550000</v>
      </c>
      <c r="M388" s="1108">
        <v>646.57094300000006</v>
      </c>
      <c r="N388" s="1109">
        <f>N390+N398+N402</f>
        <v>1224000</v>
      </c>
      <c r="O388" s="1108">
        <v>653.036652</v>
      </c>
      <c r="P388" s="1109">
        <f>P390+P398+P402</f>
        <v>1088000</v>
      </c>
      <c r="Q388" s="1108">
        <v>659.56701899999996</v>
      </c>
      <c r="R388" s="1109">
        <f>R390+R398+R402</f>
        <v>950000</v>
      </c>
      <c r="S388" s="1108">
        <v>666.162689</v>
      </c>
      <c r="T388" s="1109">
        <f>T390+T398+T402</f>
        <v>950000</v>
      </c>
      <c r="U388" s="1108">
        <v>672.82413599999995</v>
      </c>
      <c r="V388" s="1109">
        <f>V390+V398+V402</f>
        <v>950000</v>
      </c>
      <c r="W388" s="1110">
        <v>666.162689</v>
      </c>
      <c r="X388" s="1109"/>
      <c r="Y388" s="1111" t="s">
        <v>1425</v>
      </c>
    </row>
    <row r="389" spans="2:25" ht="48" x14ac:dyDescent="0.25">
      <c r="B389" s="1850"/>
      <c r="C389" s="1975"/>
      <c r="D389" s="1975"/>
      <c r="E389" s="19"/>
      <c r="F389" s="18"/>
      <c r="G389" s="212"/>
      <c r="H389" s="211" t="s">
        <v>3691</v>
      </c>
      <c r="I389" s="1112" t="s">
        <v>1355</v>
      </c>
      <c r="J389" s="1113">
        <v>289685</v>
      </c>
      <c r="K389" s="1114">
        <v>318025</v>
      </c>
      <c r="L389" s="1109">
        <f>L410</f>
        <v>250000</v>
      </c>
      <c r="M389" s="1115">
        <v>346896</v>
      </c>
      <c r="N389" s="1109">
        <f>N410</f>
        <v>797000</v>
      </c>
      <c r="O389" s="1115">
        <v>409857</v>
      </c>
      <c r="P389" s="1109">
        <f>P410</f>
        <v>875000</v>
      </c>
      <c r="Q389" s="1115">
        <v>442510</v>
      </c>
      <c r="R389" s="1109">
        <f>R410</f>
        <v>1051000</v>
      </c>
      <c r="S389" s="1115">
        <v>446927</v>
      </c>
      <c r="T389" s="1109">
        <f>T410</f>
        <v>1156000</v>
      </c>
      <c r="U389" s="1115">
        <v>480530</v>
      </c>
      <c r="V389" s="1109">
        <f>V410</f>
        <v>1271000</v>
      </c>
      <c r="W389" s="1116">
        <f t="shared" ref="W389:W396" si="2">S389</f>
        <v>446927</v>
      </c>
      <c r="X389" s="1109"/>
      <c r="Y389" s="1111" t="s">
        <v>1425</v>
      </c>
    </row>
    <row r="390" spans="2:25" ht="38.25" x14ac:dyDescent="0.25">
      <c r="B390" s="1850"/>
      <c r="C390" s="1975"/>
      <c r="D390" s="359"/>
      <c r="E390" s="19"/>
      <c r="F390" s="19"/>
      <c r="G390" s="1117" t="s">
        <v>2587</v>
      </c>
      <c r="H390" s="1118" t="s">
        <v>3693</v>
      </c>
      <c r="I390" s="1119" t="s">
        <v>2584</v>
      </c>
      <c r="J390" s="1120">
        <v>120</v>
      </c>
      <c r="K390" s="1120">
        <v>120</v>
      </c>
      <c r="L390" s="1121">
        <v>300000</v>
      </c>
      <c r="M390" s="1120">
        <v>120</v>
      </c>
      <c r="N390" s="1121">
        <v>580000</v>
      </c>
      <c r="O390" s="1120">
        <v>120</v>
      </c>
      <c r="P390" s="1121">
        <v>638000</v>
      </c>
      <c r="Q390" s="1120">
        <v>120</v>
      </c>
      <c r="R390" s="1121">
        <v>500000</v>
      </c>
      <c r="S390" s="1120">
        <v>120</v>
      </c>
      <c r="T390" s="1121">
        <v>500000</v>
      </c>
      <c r="U390" s="1120">
        <v>120</v>
      </c>
      <c r="V390" s="1121">
        <v>500000</v>
      </c>
      <c r="W390" s="1122">
        <f t="shared" si="2"/>
        <v>120</v>
      </c>
      <c r="X390" s="1123"/>
      <c r="Y390" s="1111" t="s">
        <v>1425</v>
      </c>
    </row>
    <row r="391" spans="2:25" x14ac:dyDescent="0.25">
      <c r="B391" s="1850"/>
      <c r="C391" s="19"/>
      <c r="D391" s="19"/>
      <c r="E391" s="19"/>
      <c r="F391" s="19"/>
      <c r="G391" s="1124"/>
      <c r="H391" s="1118" t="s">
        <v>3694</v>
      </c>
      <c r="I391" s="1119" t="s">
        <v>2584</v>
      </c>
      <c r="J391" s="1120">
        <v>100</v>
      </c>
      <c r="K391" s="1125">
        <v>34</v>
      </c>
      <c r="L391" s="1121"/>
      <c r="M391" s="1126">
        <v>24</v>
      </c>
      <c r="N391" s="1121"/>
      <c r="O391" s="1126">
        <v>16</v>
      </c>
      <c r="P391" s="1121"/>
      <c r="Q391" s="1126">
        <v>16</v>
      </c>
      <c r="R391" s="1121"/>
      <c r="S391" s="1126">
        <v>16</v>
      </c>
      <c r="T391" s="1121"/>
      <c r="U391" s="1126">
        <v>16</v>
      </c>
      <c r="V391" s="1121"/>
      <c r="W391" s="1122">
        <f t="shared" si="2"/>
        <v>16</v>
      </c>
      <c r="X391" s="1127"/>
      <c r="Y391" s="1111" t="s">
        <v>1425</v>
      </c>
    </row>
    <row r="392" spans="2:25" x14ac:dyDescent="0.25">
      <c r="B392" s="1850"/>
      <c r="C392" s="19"/>
      <c r="D392" s="19"/>
      <c r="E392" s="19"/>
      <c r="F392" s="19"/>
      <c r="G392" s="1124"/>
      <c r="H392" s="1118" t="s">
        <v>3695</v>
      </c>
      <c r="I392" s="1119" t="s">
        <v>2584</v>
      </c>
      <c r="J392" s="1120">
        <v>20</v>
      </c>
      <c r="K392" s="1125">
        <v>15</v>
      </c>
      <c r="L392" s="1121"/>
      <c r="M392" s="1126">
        <v>10</v>
      </c>
      <c r="N392" s="1121"/>
      <c r="O392" s="1126">
        <v>5</v>
      </c>
      <c r="P392" s="1121"/>
      <c r="Q392" s="1126">
        <v>5</v>
      </c>
      <c r="R392" s="1121"/>
      <c r="S392" s="1126">
        <v>5</v>
      </c>
      <c r="T392" s="1121"/>
      <c r="U392" s="1126">
        <v>5</v>
      </c>
      <c r="V392" s="1121"/>
      <c r="W392" s="1122">
        <f t="shared" si="2"/>
        <v>5</v>
      </c>
      <c r="X392" s="1127"/>
      <c r="Y392" s="1111" t="s">
        <v>1425</v>
      </c>
    </row>
    <row r="393" spans="2:25" x14ac:dyDescent="0.25">
      <c r="B393" s="1850"/>
      <c r="C393" s="19"/>
      <c r="D393" s="19"/>
      <c r="E393" s="19"/>
      <c r="F393" s="410"/>
      <c r="G393" s="1124"/>
      <c r="H393" s="1118" t="s">
        <v>2711</v>
      </c>
      <c r="I393" s="1119" t="s">
        <v>2584</v>
      </c>
      <c r="J393" s="1128">
        <v>0</v>
      </c>
      <c r="K393" s="1125">
        <v>15</v>
      </c>
      <c r="L393" s="1121"/>
      <c r="M393" s="1126">
        <v>25</v>
      </c>
      <c r="N393" s="1121"/>
      <c r="O393" s="1126">
        <v>25</v>
      </c>
      <c r="P393" s="1121"/>
      <c r="Q393" s="1126">
        <v>25</v>
      </c>
      <c r="R393" s="1121"/>
      <c r="S393" s="1126">
        <v>25</v>
      </c>
      <c r="T393" s="1121"/>
      <c r="U393" s="1126">
        <v>25</v>
      </c>
      <c r="V393" s="1121"/>
      <c r="W393" s="1122">
        <f t="shared" si="2"/>
        <v>25</v>
      </c>
      <c r="X393" s="1127"/>
      <c r="Y393" s="1111" t="s">
        <v>1425</v>
      </c>
    </row>
    <row r="394" spans="2:25" x14ac:dyDescent="0.25">
      <c r="B394" s="1850"/>
      <c r="C394" s="19"/>
      <c r="D394" s="19"/>
      <c r="E394" s="19"/>
      <c r="F394" s="19"/>
      <c r="G394" s="1124"/>
      <c r="H394" s="1118" t="s">
        <v>3696</v>
      </c>
      <c r="I394" s="1119" t="s">
        <v>2584</v>
      </c>
      <c r="J394" s="1128">
        <v>0</v>
      </c>
      <c r="K394" s="1125">
        <v>1</v>
      </c>
      <c r="L394" s="1121"/>
      <c r="M394" s="1126">
        <v>1</v>
      </c>
      <c r="N394" s="1121"/>
      <c r="O394" s="1126">
        <v>3</v>
      </c>
      <c r="P394" s="1121"/>
      <c r="Q394" s="1126">
        <v>3</v>
      </c>
      <c r="R394" s="1121"/>
      <c r="S394" s="1126">
        <v>3</v>
      </c>
      <c r="T394" s="1121"/>
      <c r="U394" s="1126">
        <v>3</v>
      </c>
      <c r="V394" s="1121"/>
      <c r="W394" s="1122">
        <f t="shared" si="2"/>
        <v>3</v>
      </c>
      <c r="X394" s="1127"/>
      <c r="Y394" s="1111" t="s">
        <v>1425</v>
      </c>
    </row>
    <row r="395" spans="2:25" x14ac:dyDescent="0.25">
      <c r="B395" s="1850"/>
      <c r="C395" s="19"/>
      <c r="D395" s="19"/>
      <c r="E395" s="19"/>
      <c r="F395" s="19"/>
      <c r="G395" s="1124"/>
      <c r="H395" s="1118" t="s">
        <v>3697</v>
      </c>
      <c r="I395" s="1119" t="s">
        <v>2584</v>
      </c>
      <c r="J395" s="1128">
        <v>0</v>
      </c>
      <c r="K395" s="1125">
        <v>4</v>
      </c>
      <c r="L395" s="1121"/>
      <c r="M395" s="1129">
        <v>0</v>
      </c>
      <c r="N395" s="1121"/>
      <c r="O395" s="1129">
        <v>0</v>
      </c>
      <c r="P395" s="1121"/>
      <c r="Q395" s="1129">
        <v>0</v>
      </c>
      <c r="R395" s="1121"/>
      <c r="S395" s="1129">
        <v>0</v>
      </c>
      <c r="T395" s="1121"/>
      <c r="U395" s="1129">
        <v>0</v>
      </c>
      <c r="V395" s="1121"/>
      <c r="W395" s="1130">
        <f t="shared" si="2"/>
        <v>0</v>
      </c>
      <c r="X395" s="1127"/>
      <c r="Y395" s="1111" t="s">
        <v>1425</v>
      </c>
    </row>
    <row r="396" spans="2:25" x14ac:dyDescent="0.25">
      <c r="B396" s="1850"/>
      <c r="C396" s="19"/>
      <c r="D396" s="19"/>
      <c r="E396" s="19"/>
      <c r="F396" s="19"/>
      <c r="G396" s="1124"/>
      <c r="H396" s="1118" t="s">
        <v>3698</v>
      </c>
      <c r="I396" s="1119" t="s">
        <v>2584</v>
      </c>
      <c r="J396" s="1128">
        <v>0</v>
      </c>
      <c r="K396" s="1131">
        <v>0</v>
      </c>
      <c r="L396" s="1121"/>
      <c r="M396" s="1126">
        <v>1</v>
      </c>
      <c r="N396" s="1121"/>
      <c r="O396" s="1126">
        <v>3</v>
      </c>
      <c r="P396" s="1121"/>
      <c r="Q396" s="1126">
        <v>3</v>
      </c>
      <c r="R396" s="1121"/>
      <c r="S396" s="1126">
        <v>3</v>
      </c>
      <c r="T396" s="1121"/>
      <c r="U396" s="1126">
        <v>3</v>
      </c>
      <c r="V396" s="1121"/>
      <c r="W396" s="1122">
        <f t="shared" si="2"/>
        <v>3</v>
      </c>
      <c r="X396" s="1127"/>
      <c r="Y396" s="1111" t="s">
        <v>1425</v>
      </c>
    </row>
    <row r="397" spans="2:25" ht="38.25" x14ac:dyDescent="0.25">
      <c r="B397" s="1850"/>
      <c r="C397" s="19"/>
      <c r="D397" s="19"/>
      <c r="E397" s="19"/>
      <c r="F397" s="19"/>
      <c r="G397" s="1117" t="s">
        <v>2710</v>
      </c>
      <c r="H397" s="1118" t="s">
        <v>3699</v>
      </c>
      <c r="I397" s="1119"/>
      <c r="J397" s="1120"/>
      <c r="K397" s="1125"/>
      <c r="L397" s="1121"/>
      <c r="M397" s="1126"/>
      <c r="N397" s="1121"/>
      <c r="O397" s="1126"/>
      <c r="P397" s="1121"/>
      <c r="Q397" s="1126"/>
      <c r="R397" s="1121"/>
      <c r="S397" s="1126"/>
      <c r="T397" s="1121"/>
      <c r="U397" s="1126"/>
      <c r="V397" s="1121"/>
      <c r="W397" s="1132"/>
      <c r="X397" s="1127"/>
      <c r="Y397" s="1111" t="s">
        <v>1425</v>
      </c>
    </row>
    <row r="398" spans="2:25" x14ac:dyDescent="0.25">
      <c r="B398" s="1850"/>
      <c r="C398" s="19"/>
      <c r="D398" s="19"/>
      <c r="E398" s="19"/>
      <c r="F398" s="19"/>
      <c r="G398" s="1124"/>
      <c r="H398" s="1118" t="s">
        <v>2711</v>
      </c>
      <c r="I398" s="1119" t="s">
        <v>2584</v>
      </c>
      <c r="J398" s="1120">
        <v>104.29</v>
      </c>
      <c r="K398" s="1125">
        <v>50</v>
      </c>
      <c r="L398" s="1121">
        <v>150000</v>
      </c>
      <c r="M398" s="1126">
        <v>50</v>
      </c>
      <c r="N398" s="1121">
        <v>250000</v>
      </c>
      <c r="O398" s="1126">
        <v>50</v>
      </c>
      <c r="P398" s="1121">
        <v>250000</v>
      </c>
      <c r="Q398" s="1126">
        <v>50</v>
      </c>
      <c r="R398" s="1121">
        <v>250000</v>
      </c>
      <c r="S398" s="1126">
        <v>50</v>
      </c>
      <c r="T398" s="1121">
        <v>250000</v>
      </c>
      <c r="U398" s="1126">
        <v>50</v>
      </c>
      <c r="V398" s="1121">
        <v>250000</v>
      </c>
      <c r="W398" s="1122">
        <f t="shared" ref="W398:W416" si="3">S398</f>
        <v>50</v>
      </c>
      <c r="X398" s="1127"/>
      <c r="Y398" s="1111" t="s">
        <v>1425</v>
      </c>
    </row>
    <row r="399" spans="2:25" x14ac:dyDescent="0.25">
      <c r="B399" s="1850"/>
      <c r="C399" s="19"/>
      <c r="D399" s="19"/>
      <c r="E399" s="19"/>
      <c r="F399" s="19"/>
      <c r="G399" s="1124"/>
      <c r="H399" s="1118" t="s">
        <v>3695</v>
      </c>
      <c r="I399" s="1119" t="s">
        <v>2584</v>
      </c>
      <c r="J399" s="1128">
        <v>0</v>
      </c>
      <c r="K399" s="1125">
        <v>50</v>
      </c>
      <c r="L399" s="1121"/>
      <c r="M399" s="1126">
        <v>50</v>
      </c>
      <c r="N399" s="1121"/>
      <c r="O399" s="1126">
        <v>50</v>
      </c>
      <c r="P399" s="1121"/>
      <c r="Q399" s="1126">
        <v>50</v>
      </c>
      <c r="R399" s="1121"/>
      <c r="S399" s="1126">
        <v>50</v>
      </c>
      <c r="T399" s="1121"/>
      <c r="U399" s="1126">
        <v>50</v>
      </c>
      <c r="V399" s="1121"/>
      <c r="W399" s="1122">
        <f t="shared" si="3"/>
        <v>50</v>
      </c>
      <c r="X399" s="1127"/>
      <c r="Y399" s="1111" t="s">
        <v>1425</v>
      </c>
    </row>
    <row r="400" spans="2:25" x14ac:dyDescent="0.25">
      <c r="B400" s="1850"/>
      <c r="C400" s="19"/>
      <c r="D400" s="19"/>
      <c r="E400" s="19"/>
      <c r="F400" s="19"/>
      <c r="G400" s="1124"/>
      <c r="H400" s="1118" t="s">
        <v>3697</v>
      </c>
      <c r="I400" s="1119" t="s">
        <v>2584</v>
      </c>
      <c r="J400" s="1128">
        <v>0</v>
      </c>
      <c r="K400" s="1125">
        <v>50</v>
      </c>
      <c r="L400" s="1121"/>
      <c r="M400" s="1126">
        <v>50</v>
      </c>
      <c r="N400" s="1121"/>
      <c r="O400" s="1126">
        <v>50</v>
      </c>
      <c r="P400" s="1121"/>
      <c r="Q400" s="1126">
        <v>50</v>
      </c>
      <c r="R400" s="1121"/>
      <c r="S400" s="1126">
        <v>50</v>
      </c>
      <c r="T400" s="1121"/>
      <c r="U400" s="1126">
        <v>50</v>
      </c>
      <c r="V400" s="1121"/>
      <c r="W400" s="1122">
        <f t="shared" si="3"/>
        <v>50</v>
      </c>
      <c r="X400" s="1127"/>
      <c r="Y400" s="1111" t="s">
        <v>1425</v>
      </c>
    </row>
    <row r="401" spans="2:25" x14ac:dyDescent="0.25">
      <c r="B401" s="1850"/>
      <c r="C401" s="19"/>
      <c r="D401" s="19"/>
      <c r="E401" s="19"/>
      <c r="F401" s="19"/>
      <c r="G401" s="1124"/>
      <c r="H401" s="1118" t="s">
        <v>3700</v>
      </c>
      <c r="I401" s="1119" t="s">
        <v>2584</v>
      </c>
      <c r="J401" s="1128">
        <v>0</v>
      </c>
      <c r="K401" s="1125">
        <v>50</v>
      </c>
      <c r="L401" s="1121"/>
      <c r="M401" s="1126">
        <v>50</v>
      </c>
      <c r="N401" s="1121"/>
      <c r="O401" s="1126">
        <v>50</v>
      </c>
      <c r="P401" s="1121"/>
      <c r="Q401" s="1126">
        <v>50</v>
      </c>
      <c r="R401" s="1121"/>
      <c r="S401" s="1126">
        <v>50</v>
      </c>
      <c r="T401" s="1121"/>
      <c r="U401" s="1126">
        <v>50</v>
      </c>
      <c r="V401" s="1121"/>
      <c r="W401" s="1122">
        <f t="shared" si="3"/>
        <v>50</v>
      </c>
      <c r="X401" s="1127"/>
      <c r="Y401" s="1111" t="s">
        <v>1425</v>
      </c>
    </row>
    <row r="402" spans="2:25" ht="25.5" x14ac:dyDescent="0.25">
      <c r="B402" s="1850"/>
      <c r="C402" s="19"/>
      <c r="D402" s="19"/>
      <c r="E402" s="19"/>
      <c r="F402" s="19"/>
      <c r="G402" s="1117" t="s">
        <v>2707</v>
      </c>
      <c r="H402" s="1133" t="s">
        <v>2708</v>
      </c>
      <c r="I402" s="1134" t="s">
        <v>75</v>
      </c>
      <c r="J402" s="1128">
        <v>0</v>
      </c>
      <c r="K402" s="1135">
        <v>1</v>
      </c>
      <c r="L402" s="1121">
        <v>100000</v>
      </c>
      <c r="M402" s="1136">
        <v>1</v>
      </c>
      <c r="N402" s="1137">
        <v>394000</v>
      </c>
      <c r="O402" s="1136">
        <v>1</v>
      </c>
      <c r="P402" s="1137">
        <v>200000</v>
      </c>
      <c r="Q402" s="1136">
        <v>1</v>
      </c>
      <c r="R402" s="1137">
        <v>200000</v>
      </c>
      <c r="S402" s="1136">
        <v>0</v>
      </c>
      <c r="T402" s="1137">
        <v>200000</v>
      </c>
      <c r="U402" s="1136">
        <v>0</v>
      </c>
      <c r="V402" s="1137">
        <v>200000</v>
      </c>
      <c r="W402" s="1130">
        <f t="shared" si="3"/>
        <v>0</v>
      </c>
      <c r="X402" s="1127"/>
      <c r="Y402" s="1111" t="s">
        <v>1425</v>
      </c>
    </row>
    <row r="403" spans="2:25" ht="51" x14ac:dyDescent="0.25">
      <c r="B403" s="1850"/>
      <c r="C403" s="19"/>
      <c r="D403" s="19"/>
      <c r="E403" s="19"/>
      <c r="F403" s="19"/>
      <c r="G403" s="1124"/>
      <c r="H403" s="1133" t="s">
        <v>2709</v>
      </c>
      <c r="I403" s="1134" t="s">
        <v>75</v>
      </c>
      <c r="J403" s="1128">
        <v>0</v>
      </c>
      <c r="K403" s="1135">
        <v>1</v>
      </c>
      <c r="L403" s="1121"/>
      <c r="M403" s="1138">
        <v>1</v>
      </c>
      <c r="N403" s="1121"/>
      <c r="O403" s="1138">
        <v>0</v>
      </c>
      <c r="P403" s="1121"/>
      <c r="Q403" s="1138">
        <v>0</v>
      </c>
      <c r="R403" s="1121"/>
      <c r="S403" s="1138">
        <v>0</v>
      </c>
      <c r="T403" s="1121"/>
      <c r="U403" s="1138">
        <v>0</v>
      </c>
      <c r="V403" s="1121"/>
      <c r="W403" s="1130">
        <f t="shared" si="3"/>
        <v>0</v>
      </c>
      <c r="X403" s="1127"/>
      <c r="Y403" s="1111" t="s">
        <v>1425</v>
      </c>
    </row>
    <row r="404" spans="2:25" ht="38.25" x14ac:dyDescent="0.25">
      <c r="B404" s="1850"/>
      <c r="C404" s="19"/>
      <c r="D404" s="19"/>
      <c r="E404" s="19"/>
      <c r="F404" s="19"/>
      <c r="G404" s="1124"/>
      <c r="H404" s="1133" t="s">
        <v>3701</v>
      </c>
      <c r="I404" s="1134" t="s">
        <v>75</v>
      </c>
      <c r="J404" s="1128">
        <v>0</v>
      </c>
      <c r="K404" s="1139">
        <v>0</v>
      </c>
      <c r="L404" s="1121"/>
      <c r="M404" s="1138">
        <v>7</v>
      </c>
      <c r="N404" s="1121"/>
      <c r="O404" s="1138">
        <v>7</v>
      </c>
      <c r="P404" s="1121"/>
      <c r="Q404" s="1138">
        <v>7</v>
      </c>
      <c r="R404" s="1121"/>
      <c r="S404" s="1138">
        <v>7</v>
      </c>
      <c r="T404" s="1121"/>
      <c r="U404" s="1138">
        <v>7</v>
      </c>
      <c r="V404" s="1121"/>
      <c r="W404" s="1122">
        <f t="shared" si="3"/>
        <v>7</v>
      </c>
      <c r="X404" s="1127"/>
      <c r="Y404" s="1111" t="s">
        <v>1425</v>
      </c>
    </row>
    <row r="405" spans="2:25" ht="38.25" x14ac:dyDescent="0.25">
      <c r="B405" s="1850"/>
      <c r="C405" s="19"/>
      <c r="D405" s="19"/>
      <c r="E405" s="19"/>
      <c r="F405" s="19"/>
      <c r="G405" s="1124"/>
      <c r="H405" s="1133" t="s">
        <v>3702</v>
      </c>
      <c r="I405" s="1134" t="s">
        <v>75</v>
      </c>
      <c r="J405" s="1128">
        <v>0</v>
      </c>
      <c r="K405" s="1139">
        <v>0</v>
      </c>
      <c r="L405" s="1121"/>
      <c r="M405" s="1138">
        <v>3</v>
      </c>
      <c r="N405" s="1121"/>
      <c r="O405" s="1138">
        <v>3</v>
      </c>
      <c r="P405" s="1121"/>
      <c r="Q405" s="1138">
        <v>3</v>
      </c>
      <c r="R405" s="1121"/>
      <c r="S405" s="1138">
        <v>3</v>
      </c>
      <c r="T405" s="1121"/>
      <c r="U405" s="1138">
        <v>3</v>
      </c>
      <c r="V405" s="1121"/>
      <c r="W405" s="1122">
        <f t="shared" si="3"/>
        <v>3</v>
      </c>
      <c r="X405" s="1127"/>
      <c r="Y405" s="1111" t="s">
        <v>1425</v>
      </c>
    </row>
    <row r="406" spans="2:25" ht="51" x14ac:dyDescent="0.25">
      <c r="B406" s="1850"/>
      <c r="C406" s="19"/>
      <c r="D406" s="19"/>
      <c r="E406" s="19"/>
      <c r="F406" s="19"/>
      <c r="G406" s="1124"/>
      <c r="H406" s="1133" t="s">
        <v>3703</v>
      </c>
      <c r="I406" s="1134" t="s">
        <v>75</v>
      </c>
      <c r="J406" s="1128">
        <v>0</v>
      </c>
      <c r="K406" s="1139">
        <v>0</v>
      </c>
      <c r="L406" s="1121"/>
      <c r="M406" s="1138">
        <v>7</v>
      </c>
      <c r="N406" s="1121"/>
      <c r="O406" s="1138">
        <v>7</v>
      </c>
      <c r="P406" s="1121"/>
      <c r="Q406" s="1138">
        <v>7</v>
      </c>
      <c r="R406" s="1121"/>
      <c r="S406" s="1138">
        <v>7</v>
      </c>
      <c r="T406" s="1121"/>
      <c r="U406" s="1138">
        <v>7</v>
      </c>
      <c r="V406" s="1121"/>
      <c r="W406" s="1122">
        <f t="shared" si="3"/>
        <v>7</v>
      </c>
      <c r="X406" s="1127"/>
      <c r="Y406" s="1111" t="s">
        <v>1425</v>
      </c>
    </row>
    <row r="407" spans="2:25" ht="51" x14ac:dyDescent="0.25">
      <c r="B407" s="1850"/>
      <c r="C407" s="19"/>
      <c r="D407" s="19"/>
      <c r="E407" s="19"/>
      <c r="F407" s="19"/>
      <c r="G407" s="1124"/>
      <c r="H407" s="1133" t="s">
        <v>3704</v>
      </c>
      <c r="I407" s="1134" t="s">
        <v>75</v>
      </c>
      <c r="J407" s="1128">
        <v>0</v>
      </c>
      <c r="K407" s="1139">
        <v>0</v>
      </c>
      <c r="L407" s="1121"/>
      <c r="M407" s="1138">
        <v>2</v>
      </c>
      <c r="N407" s="1121"/>
      <c r="O407" s="1138">
        <v>2</v>
      </c>
      <c r="P407" s="1121"/>
      <c r="Q407" s="1138">
        <v>2</v>
      </c>
      <c r="R407" s="1121"/>
      <c r="S407" s="1138">
        <v>2</v>
      </c>
      <c r="T407" s="1121"/>
      <c r="U407" s="1138">
        <v>2</v>
      </c>
      <c r="V407" s="1121"/>
      <c r="W407" s="1122">
        <f t="shared" si="3"/>
        <v>2</v>
      </c>
      <c r="X407" s="1127"/>
      <c r="Y407" s="1111" t="s">
        <v>1425</v>
      </c>
    </row>
    <row r="408" spans="2:25" ht="38.25" x14ac:dyDescent="0.25">
      <c r="B408" s="1850"/>
      <c r="C408" s="19"/>
      <c r="D408" s="19"/>
      <c r="E408" s="19"/>
      <c r="F408" s="19"/>
      <c r="G408" s="1124"/>
      <c r="H408" s="1133" t="s">
        <v>3705</v>
      </c>
      <c r="I408" s="1134" t="s">
        <v>75</v>
      </c>
      <c r="J408" s="1128">
        <v>0</v>
      </c>
      <c r="K408" s="1139">
        <v>0</v>
      </c>
      <c r="L408" s="1121"/>
      <c r="M408" s="1138">
        <v>3</v>
      </c>
      <c r="N408" s="1121"/>
      <c r="O408" s="1138">
        <v>3</v>
      </c>
      <c r="P408" s="1121"/>
      <c r="Q408" s="1138">
        <v>3</v>
      </c>
      <c r="R408" s="1121"/>
      <c r="S408" s="1138">
        <v>3</v>
      </c>
      <c r="T408" s="1121"/>
      <c r="U408" s="1138">
        <v>3</v>
      </c>
      <c r="V408" s="1121"/>
      <c r="W408" s="1122">
        <f t="shared" si="3"/>
        <v>3</v>
      </c>
      <c r="X408" s="1127"/>
      <c r="Y408" s="1111" t="s">
        <v>1425</v>
      </c>
    </row>
    <row r="409" spans="2:25" ht="38.25" x14ac:dyDescent="0.25">
      <c r="B409" s="1850"/>
      <c r="C409" s="19"/>
      <c r="D409" s="19"/>
      <c r="E409" s="19"/>
      <c r="F409" s="19"/>
      <c r="G409" s="1124"/>
      <c r="H409" s="1133" t="s">
        <v>3706</v>
      </c>
      <c r="I409" s="1134" t="s">
        <v>75</v>
      </c>
      <c r="J409" s="1128">
        <v>0</v>
      </c>
      <c r="K409" s="1139">
        <v>0</v>
      </c>
      <c r="L409" s="1121"/>
      <c r="M409" s="1138">
        <v>1</v>
      </c>
      <c r="N409" s="1121"/>
      <c r="O409" s="1138">
        <v>1</v>
      </c>
      <c r="P409" s="1121"/>
      <c r="Q409" s="1138">
        <v>1</v>
      </c>
      <c r="R409" s="1121"/>
      <c r="S409" s="1138">
        <v>1</v>
      </c>
      <c r="T409" s="1121"/>
      <c r="U409" s="1138">
        <v>1</v>
      </c>
      <c r="V409" s="1121"/>
      <c r="W409" s="1122">
        <f t="shared" si="3"/>
        <v>1</v>
      </c>
      <c r="X409" s="1127"/>
      <c r="Y409" s="1111" t="s">
        <v>1425</v>
      </c>
    </row>
    <row r="410" spans="2:25" ht="25.5" x14ac:dyDescent="0.25">
      <c r="B410" s="1850"/>
      <c r="C410" s="19"/>
      <c r="D410" s="19"/>
      <c r="E410" s="19"/>
      <c r="F410" s="19"/>
      <c r="G410" s="1118" t="s">
        <v>2579</v>
      </c>
      <c r="H410" s="1118" t="s">
        <v>3707</v>
      </c>
      <c r="I410" s="1134" t="s">
        <v>75</v>
      </c>
      <c r="J410" s="1140">
        <v>0</v>
      </c>
      <c r="K410" s="1141">
        <v>12</v>
      </c>
      <c r="L410" s="1142">
        <v>250000</v>
      </c>
      <c r="M410" s="1141">
        <v>30</v>
      </c>
      <c r="N410" s="1142">
        <v>797000</v>
      </c>
      <c r="O410" s="1141">
        <v>20</v>
      </c>
      <c r="P410" s="1142">
        <v>875000</v>
      </c>
      <c r="Q410" s="1141">
        <v>20</v>
      </c>
      <c r="R410" s="1142">
        <v>1051000</v>
      </c>
      <c r="S410" s="1141">
        <v>20</v>
      </c>
      <c r="T410" s="1142">
        <v>1156000</v>
      </c>
      <c r="U410" s="1143">
        <v>20</v>
      </c>
      <c r="V410" s="1142">
        <v>1271000</v>
      </c>
      <c r="W410" s="1122">
        <f t="shared" si="3"/>
        <v>20</v>
      </c>
      <c r="X410" s="1127"/>
      <c r="Y410" s="1111" t="s">
        <v>1425</v>
      </c>
    </row>
    <row r="411" spans="2:25" ht="38.25" x14ac:dyDescent="0.25">
      <c r="B411" s="1850"/>
      <c r="C411" s="19"/>
      <c r="D411" s="19"/>
      <c r="E411" s="19"/>
      <c r="F411" s="19"/>
      <c r="G411" s="213"/>
      <c r="H411" s="1118" t="s">
        <v>2723</v>
      </c>
      <c r="I411" s="1134" t="s">
        <v>75</v>
      </c>
      <c r="J411" s="1140">
        <v>0</v>
      </c>
      <c r="K411" s="1141">
        <v>12</v>
      </c>
      <c r="L411" s="1144"/>
      <c r="M411" s="1141">
        <v>20</v>
      </c>
      <c r="N411" s="1144"/>
      <c r="O411" s="1141">
        <v>20</v>
      </c>
      <c r="P411" s="1144"/>
      <c r="Q411" s="1141">
        <v>20</v>
      </c>
      <c r="R411" s="1144"/>
      <c r="S411" s="1141">
        <v>20</v>
      </c>
      <c r="T411" s="1144"/>
      <c r="U411" s="1143">
        <v>20</v>
      </c>
      <c r="V411" s="1144"/>
      <c r="W411" s="1122">
        <f t="shared" si="3"/>
        <v>20</v>
      </c>
      <c r="X411" s="1127"/>
      <c r="Y411" s="1111" t="s">
        <v>1425</v>
      </c>
    </row>
    <row r="412" spans="2:25" ht="38.25" x14ac:dyDescent="0.25">
      <c r="B412" s="1850"/>
      <c r="C412" s="19"/>
      <c r="D412" s="19"/>
      <c r="E412" s="19"/>
      <c r="F412" s="19"/>
      <c r="G412" s="213"/>
      <c r="H412" s="1118" t="s">
        <v>2725</v>
      </c>
      <c r="I412" s="1134" t="s">
        <v>1429</v>
      </c>
      <c r="J412" s="1140">
        <v>0</v>
      </c>
      <c r="K412" s="1141">
        <v>0</v>
      </c>
      <c r="L412" s="1144"/>
      <c r="M412" s="1141">
        <v>10</v>
      </c>
      <c r="N412" s="1144"/>
      <c r="O412" s="1141">
        <v>4</v>
      </c>
      <c r="P412" s="1144"/>
      <c r="Q412" s="1141">
        <v>4</v>
      </c>
      <c r="R412" s="1144"/>
      <c r="S412" s="1141">
        <v>4</v>
      </c>
      <c r="T412" s="1144"/>
      <c r="U412" s="1143">
        <v>2</v>
      </c>
      <c r="V412" s="1144"/>
      <c r="W412" s="1122">
        <f t="shared" si="3"/>
        <v>4</v>
      </c>
      <c r="X412" s="1127"/>
      <c r="Y412" s="1111" t="s">
        <v>1425</v>
      </c>
    </row>
    <row r="413" spans="2:25" ht="38.25" x14ac:dyDescent="0.25">
      <c r="B413" s="1850"/>
      <c r="C413" s="19"/>
      <c r="D413" s="19"/>
      <c r="E413" s="19"/>
      <c r="F413" s="19"/>
      <c r="G413" s="213"/>
      <c r="H413" s="1118" t="s">
        <v>3708</v>
      </c>
      <c r="I413" s="1134" t="s">
        <v>75</v>
      </c>
      <c r="J413" s="1140">
        <v>0</v>
      </c>
      <c r="K413" s="1141">
        <v>0</v>
      </c>
      <c r="L413" s="1144"/>
      <c r="M413" s="1141">
        <v>2</v>
      </c>
      <c r="N413" s="1144"/>
      <c r="O413" s="1141">
        <v>1</v>
      </c>
      <c r="P413" s="1144"/>
      <c r="Q413" s="1141">
        <v>1</v>
      </c>
      <c r="R413" s="1144"/>
      <c r="S413" s="1141">
        <v>1</v>
      </c>
      <c r="T413" s="1144"/>
      <c r="U413" s="1143">
        <v>1</v>
      </c>
      <c r="V413" s="1144"/>
      <c r="W413" s="1122">
        <f t="shared" si="3"/>
        <v>1</v>
      </c>
      <c r="X413" s="1127"/>
      <c r="Y413" s="1111" t="s">
        <v>1425</v>
      </c>
    </row>
    <row r="414" spans="2:25" ht="51" x14ac:dyDescent="0.25">
      <c r="B414" s="1850"/>
      <c r="C414" s="19"/>
      <c r="D414" s="19"/>
      <c r="E414" s="19"/>
      <c r="F414" s="19"/>
      <c r="G414" s="213"/>
      <c r="H414" s="1118" t="s">
        <v>3709</v>
      </c>
      <c r="I414" s="1134" t="s">
        <v>75</v>
      </c>
      <c r="J414" s="1140">
        <v>0</v>
      </c>
      <c r="K414" s="1141">
        <v>0</v>
      </c>
      <c r="L414" s="1144"/>
      <c r="M414" s="1141">
        <v>1</v>
      </c>
      <c r="N414" s="1144"/>
      <c r="O414" s="1141">
        <v>1</v>
      </c>
      <c r="P414" s="1144"/>
      <c r="Q414" s="1141">
        <v>1</v>
      </c>
      <c r="R414" s="1144"/>
      <c r="S414" s="1141">
        <v>1</v>
      </c>
      <c r="T414" s="1144"/>
      <c r="U414" s="1143">
        <v>1</v>
      </c>
      <c r="V414" s="1144"/>
      <c r="W414" s="1122">
        <f t="shared" si="3"/>
        <v>1</v>
      </c>
      <c r="X414" s="1127"/>
      <c r="Y414" s="1111" t="s">
        <v>1425</v>
      </c>
    </row>
    <row r="415" spans="2:25" ht="25.5" x14ac:dyDescent="0.25">
      <c r="B415" s="1850"/>
      <c r="C415" s="19"/>
      <c r="D415" s="19"/>
      <c r="E415" s="19"/>
      <c r="F415" s="19"/>
      <c r="G415" s="213"/>
      <c r="H415" s="1118" t="s">
        <v>3710</v>
      </c>
      <c r="I415" s="1134" t="s">
        <v>75</v>
      </c>
      <c r="J415" s="1140">
        <v>0</v>
      </c>
      <c r="K415" s="1141">
        <v>12</v>
      </c>
      <c r="L415" s="1144"/>
      <c r="M415" s="1141">
        <v>0</v>
      </c>
      <c r="N415" s="1144"/>
      <c r="O415" s="1141">
        <v>0</v>
      </c>
      <c r="P415" s="1144"/>
      <c r="Q415" s="1141">
        <v>0</v>
      </c>
      <c r="R415" s="1144"/>
      <c r="S415" s="1141">
        <v>0</v>
      </c>
      <c r="T415" s="1144"/>
      <c r="U415" s="1145">
        <v>0</v>
      </c>
      <c r="V415" s="1144"/>
      <c r="W415" s="1122">
        <f t="shared" si="3"/>
        <v>0</v>
      </c>
      <c r="X415" s="1127"/>
      <c r="Y415" s="1111" t="s">
        <v>1425</v>
      </c>
    </row>
    <row r="416" spans="2:25" ht="25.5" x14ac:dyDescent="0.25">
      <c r="B416" s="1850"/>
      <c r="C416" s="19"/>
      <c r="D416" s="19"/>
      <c r="E416" s="19"/>
      <c r="F416" s="19"/>
      <c r="G416" s="213"/>
      <c r="H416" s="1118" t="s">
        <v>2724</v>
      </c>
      <c r="I416" s="1134" t="s">
        <v>75</v>
      </c>
      <c r="J416" s="1140">
        <v>0</v>
      </c>
      <c r="K416" s="1141">
        <v>1</v>
      </c>
      <c r="L416" s="1144"/>
      <c r="M416" s="1141">
        <v>0</v>
      </c>
      <c r="N416" s="1144"/>
      <c r="O416" s="1141">
        <v>0</v>
      </c>
      <c r="P416" s="1144"/>
      <c r="Q416" s="1141">
        <v>0</v>
      </c>
      <c r="R416" s="1144"/>
      <c r="S416" s="1141">
        <v>0</v>
      </c>
      <c r="T416" s="1144"/>
      <c r="U416" s="1145">
        <v>0</v>
      </c>
      <c r="V416" s="1144"/>
      <c r="W416" s="1122">
        <f t="shared" si="3"/>
        <v>0</v>
      </c>
      <c r="X416" s="1127"/>
      <c r="Y416" s="1111" t="s">
        <v>1425</v>
      </c>
    </row>
    <row r="417" spans="2:25" ht="48" x14ac:dyDescent="0.25">
      <c r="B417" s="1850"/>
      <c r="C417" s="19"/>
      <c r="D417" s="19"/>
      <c r="E417" s="19"/>
      <c r="F417" s="19"/>
      <c r="G417" s="1146" t="s">
        <v>3711</v>
      </c>
      <c r="H417" s="211" t="s">
        <v>3690</v>
      </c>
      <c r="I417" s="215" t="s">
        <v>1426</v>
      </c>
      <c r="J417" s="1107">
        <v>633.83094100000005</v>
      </c>
      <c r="K417" s="1108">
        <v>640.16925000000003</v>
      </c>
      <c r="L417" s="1109">
        <f>L418</f>
        <v>979000</v>
      </c>
      <c r="M417" s="1108">
        <v>646.57094300000006</v>
      </c>
      <c r="N417" s="1109">
        <f>N418</f>
        <v>979000</v>
      </c>
      <c r="O417" s="1108">
        <v>653.036652</v>
      </c>
      <c r="P417" s="1109">
        <f>P418</f>
        <v>2500000</v>
      </c>
      <c r="Q417" s="1108">
        <v>659.56701899999996</v>
      </c>
      <c r="R417" s="1109">
        <f>R418</f>
        <v>2750000</v>
      </c>
      <c r="S417" s="1108">
        <v>666.162689</v>
      </c>
      <c r="T417" s="1109">
        <f>T418</f>
        <v>3000000</v>
      </c>
      <c r="U417" s="1108">
        <v>672.82413599999995</v>
      </c>
      <c r="V417" s="1109">
        <f>V418</f>
        <v>3250000</v>
      </c>
      <c r="W417" s="1110">
        <v>666.162689</v>
      </c>
      <c r="X417" s="1109"/>
      <c r="Y417" s="1111" t="s">
        <v>1425</v>
      </c>
    </row>
    <row r="418" spans="2:25" ht="38.25" x14ac:dyDescent="0.25">
      <c r="B418" s="1850"/>
      <c r="C418" s="19"/>
      <c r="D418" s="19"/>
      <c r="E418" s="19"/>
      <c r="F418" s="19"/>
      <c r="G418" s="1117" t="s">
        <v>2712</v>
      </c>
      <c r="H418" s="1133" t="s">
        <v>3712</v>
      </c>
      <c r="I418" s="1134" t="s">
        <v>1413</v>
      </c>
      <c r="J418" s="1147">
        <v>4</v>
      </c>
      <c r="K418" s="1135">
        <v>3</v>
      </c>
      <c r="L418" s="1135">
        <v>979000</v>
      </c>
      <c r="M418" s="1135">
        <v>3</v>
      </c>
      <c r="N418" s="1135">
        <v>979000</v>
      </c>
      <c r="O418" s="1135">
        <v>3</v>
      </c>
      <c r="P418" s="1135">
        <v>2500000</v>
      </c>
      <c r="Q418" s="1135">
        <v>3</v>
      </c>
      <c r="R418" s="1135">
        <v>2750000</v>
      </c>
      <c r="S418" s="1135">
        <v>3</v>
      </c>
      <c r="T418" s="1135">
        <v>3000000</v>
      </c>
      <c r="U418" s="1135">
        <v>3</v>
      </c>
      <c r="V418" s="1135">
        <v>3250000</v>
      </c>
      <c r="W418" s="1122">
        <f t="shared" ref="W418:W425" si="4">S418</f>
        <v>3</v>
      </c>
      <c r="X418" s="1118"/>
      <c r="Y418" s="1111" t="s">
        <v>1425</v>
      </c>
    </row>
    <row r="419" spans="2:25" ht="38.25" x14ac:dyDescent="0.25">
      <c r="B419" s="1850"/>
      <c r="C419" s="19"/>
      <c r="D419" s="19"/>
      <c r="E419" s="19"/>
      <c r="F419" s="19"/>
      <c r="G419" s="1118"/>
      <c r="H419" s="1133" t="s">
        <v>3713</v>
      </c>
      <c r="I419" s="1134" t="s">
        <v>75</v>
      </c>
      <c r="J419" s="1147">
        <v>2</v>
      </c>
      <c r="K419" s="1135">
        <v>2</v>
      </c>
      <c r="L419" s="1135"/>
      <c r="M419" s="1135">
        <v>2</v>
      </c>
      <c r="N419" s="1135"/>
      <c r="O419" s="1135">
        <v>2</v>
      </c>
      <c r="P419" s="1135"/>
      <c r="Q419" s="1135">
        <v>2</v>
      </c>
      <c r="R419" s="1135"/>
      <c r="S419" s="1135">
        <v>2</v>
      </c>
      <c r="T419" s="1135"/>
      <c r="U419" s="1135">
        <v>2</v>
      </c>
      <c r="V419" s="1135"/>
      <c r="W419" s="1122">
        <f t="shared" si="4"/>
        <v>2</v>
      </c>
      <c r="X419" s="1118"/>
      <c r="Y419" s="1111" t="s">
        <v>1425</v>
      </c>
    </row>
    <row r="420" spans="2:25" x14ac:dyDescent="0.25">
      <c r="B420" s="1850"/>
      <c r="C420" s="19"/>
      <c r="D420" s="19"/>
      <c r="E420" s="19"/>
      <c r="F420" s="19"/>
      <c r="G420" s="1118"/>
      <c r="H420" s="1133" t="s">
        <v>2713</v>
      </c>
      <c r="I420" s="1134" t="s">
        <v>106</v>
      </c>
      <c r="J420" s="1147">
        <v>2000</v>
      </c>
      <c r="K420" s="1135">
        <v>2000</v>
      </c>
      <c r="L420" s="1135"/>
      <c r="M420" s="1135">
        <v>2000</v>
      </c>
      <c r="N420" s="1135"/>
      <c r="O420" s="1135">
        <v>2000</v>
      </c>
      <c r="P420" s="1135"/>
      <c r="Q420" s="1135">
        <v>2000</v>
      </c>
      <c r="R420" s="1135"/>
      <c r="S420" s="1135">
        <v>2000</v>
      </c>
      <c r="T420" s="1135"/>
      <c r="U420" s="1135">
        <v>2000</v>
      </c>
      <c r="V420" s="1135"/>
      <c r="W420" s="1122">
        <f t="shared" si="4"/>
        <v>2000</v>
      </c>
      <c r="X420" s="1118"/>
      <c r="Y420" s="1111" t="s">
        <v>1425</v>
      </c>
    </row>
    <row r="421" spans="2:25" ht="25.5" x14ac:dyDescent="0.25">
      <c r="B421" s="1850"/>
      <c r="C421" s="19"/>
      <c r="D421" s="19"/>
      <c r="E421" s="19"/>
      <c r="F421" s="19"/>
      <c r="G421" s="1118"/>
      <c r="H421" s="1133" t="s">
        <v>2714</v>
      </c>
      <c r="I421" s="1134" t="s">
        <v>75</v>
      </c>
      <c r="J421" s="1147">
        <v>1</v>
      </c>
      <c r="K421" s="1135">
        <v>1</v>
      </c>
      <c r="L421" s="1135"/>
      <c r="M421" s="1135">
        <v>1</v>
      </c>
      <c r="N421" s="1135"/>
      <c r="O421" s="1135">
        <v>1</v>
      </c>
      <c r="P421" s="1135"/>
      <c r="Q421" s="1135">
        <v>1</v>
      </c>
      <c r="R421" s="1135"/>
      <c r="S421" s="1135">
        <v>1</v>
      </c>
      <c r="T421" s="1135"/>
      <c r="U421" s="1135">
        <v>1</v>
      </c>
      <c r="V421" s="1135"/>
      <c r="W421" s="1122">
        <f t="shared" si="4"/>
        <v>1</v>
      </c>
      <c r="X421" s="1118"/>
      <c r="Y421" s="1111" t="s">
        <v>1425</v>
      </c>
    </row>
    <row r="422" spans="2:25" x14ac:dyDescent="0.25">
      <c r="B422" s="1850"/>
      <c r="C422" s="19"/>
      <c r="D422" s="19"/>
      <c r="E422" s="19"/>
      <c r="F422" s="19"/>
      <c r="G422" s="1118"/>
      <c r="H422" s="1133" t="s">
        <v>2715</v>
      </c>
      <c r="I422" s="1134" t="s">
        <v>3714</v>
      </c>
      <c r="J422" s="1147">
        <v>5000</v>
      </c>
      <c r="K422" s="1135">
        <v>5000</v>
      </c>
      <c r="L422" s="1135"/>
      <c r="M422" s="1135">
        <v>5500</v>
      </c>
      <c r="N422" s="1135"/>
      <c r="O422" s="1135">
        <v>5000</v>
      </c>
      <c r="P422" s="1135"/>
      <c r="Q422" s="1135">
        <v>4500</v>
      </c>
      <c r="R422" s="1135"/>
      <c r="S422" s="1135">
        <v>4000</v>
      </c>
      <c r="T422" s="1135"/>
      <c r="U422" s="1135">
        <v>4000</v>
      </c>
      <c r="V422" s="1135"/>
      <c r="W422" s="1122">
        <f t="shared" si="4"/>
        <v>4000</v>
      </c>
      <c r="X422" s="1118"/>
      <c r="Y422" s="1111" t="s">
        <v>1425</v>
      </c>
    </row>
    <row r="423" spans="2:25" x14ac:dyDescent="0.25">
      <c r="B423" s="1850"/>
      <c r="C423" s="19"/>
      <c r="D423" s="19"/>
      <c r="E423" s="19"/>
      <c r="F423" s="19"/>
      <c r="G423" s="1118"/>
      <c r="H423" s="1133" t="s">
        <v>2716</v>
      </c>
      <c r="I423" s="1134" t="s">
        <v>3714</v>
      </c>
      <c r="J423" s="1147">
        <v>2500</v>
      </c>
      <c r="K423" s="1135">
        <v>2500</v>
      </c>
      <c r="L423" s="1135"/>
      <c r="M423" s="1135">
        <v>2700</v>
      </c>
      <c r="N423" s="1135"/>
      <c r="O423" s="1135">
        <v>2500</v>
      </c>
      <c r="P423" s="1135"/>
      <c r="Q423" s="1135">
        <v>2300</v>
      </c>
      <c r="R423" s="1135"/>
      <c r="S423" s="1135">
        <v>2100</v>
      </c>
      <c r="T423" s="1135"/>
      <c r="U423" s="1135">
        <v>2100</v>
      </c>
      <c r="V423" s="1135"/>
      <c r="W423" s="1122">
        <f t="shared" si="4"/>
        <v>2100</v>
      </c>
      <c r="X423" s="1118"/>
      <c r="Y423" s="1111" t="s">
        <v>1425</v>
      </c>
    </row>
    <row r="424" spans="2:25" ht="25.5" x14ac:dyDescent="0.25">
      <c r="B424" s="1850"/>
      <c r="C424" s="19"/>
      <c r="D424" s="19"/>
      <c r="E424" s="19"/>
      <c r="F424" s="19"/>
      <c r="G424" s="1118"/>
      <c r="H424" s="1133" t="s">
        <v>2717</v>
      </c>
      <c r="I424" s="1134" t="s">
        <v>1429</v>
      </c>
      <c r="J424" s="1147">
        <v>17</v>
      </c>
      <c r="K424" s="1135">
        <v>17</v>
      </c>
      <c r="L424" s="1135"/>
      <c r="M424" s="1135">
        <v>17</v>
      </c>
      <c r="N424" s="1135"/>
      <c r="O424" s="1135">
        <v>17</v>
      </c>
      <c r="P424" s="1135"/>
      <c r="Q424" s="1135">
        <v>17</v>
      </c>
      <c r="R424" s="1135"/>
      <c r="S424" s="1135">
        <v>17</v>
      </c>
      <c r="T424" s="1135"/>
      <c r="U424" s="1135">
        <v>17</v>
      </c>
      <c r="V424" s="1135"/>
      <c r="W424" s="1122">
        <f t="shared" si="4"/>
        <v>17</v>
      </c>
      <c r="X424" s="1118"/>
      <c r="Y424" s="1111" t="s">
        <v>1425</v>
      </c>
    </row>
    <row r="425" spans="2:25" ht="48" x14ac:dyDescent="0.25">
      <c r="B425" s="1850"/>
      <c r="C425" s="19"/>
      <c r="D425" s="19"/>
      <c r="E425" s="19"/>
      <c r="F425" s="19"/>
      <c r="G425" s="212" t="s">
        <v>3715</v>
      </c>
      <c r="H425" s="211" t="s">
        <v>3716</v>
      </c>
      <c r="I425" s="1112" t="s">
        <v>3692</v>
      </c>
      <c r="J425" s="1113">
        <v>289685</v>
      </c>
      <c r="K425" s="1114">
        <v>318025</v>
      </c>
      <c r="L425" s="1109">
        <f>L426</f>
        <v>50000</v>
      </c>
      <c r="M425" s="1115">
        <v>346896</v>
      </c>
      <c r="N425" s="1109">
        <f>N426</f>
        <v>150000</v>
      </c>
      <c r="O425" s="1115">
        <v>409857</v>
      </c>
      <c r="P425" s="1109">
        <f>P426</f>
        <v>60000</v>
      </c>
      <c r="Q425" s="1115">
        <v>442510</v>
      </c>
      <c r="R425" s="1109">
        <f>R426</f>
        <v>100000</v>
      </c>
      <c r="S425" s="1115">
        <v>446927</v>
      </c>
      <c r="T425" s="1109">
        <f>T426</f>
        <v>150000</v>
      </c>
      <c r="U425" s="1115">
        <v>480530</v>
      </c>
      <c r="V425" s="1109">
        <f>V426</f>
        <v>200000</v>
      </c>
      <c r="W425" s="1116">
        <f t="shared" si="4"/>
        <v>446927</v>
      </c>
      <c r="X425" s="1123"/>
      <c r="Y425" s="1111" t="s">
        <v>1425</v>
      </c>
    </row>
    <row r="426" spans="2:25" ht="51" x14ac:dyDescent="0.25">
      <c r="B426" s="1850"/>
      <c r="C426" s="19"/>
      <c r="D426" s="19"/>
      <c r="E426" s="19"/>
      <c r="F426" s="19"/>
      <c r="G426" s="1133" t="s">
        <v>3717</v>
      </c>
      <c r="H426" s="1133" t="s">
        <v>3718</v>
      </c>
      <c r="I426" s="1134" t="s">
        <v>1429</v>
      </c>
      <c r="J426" s="1147">
        <v>0</v>
      </c>
      <c r="K426" s="1135">
        <v>16</v>
      </c>
      <c r="L426" s="1135">
        <v>50000</v>
      </c>
      <c r="M426" s="1135">
        <v>16</v>
      </c>
      <c r="N426" s="1135">
        <v>150000</v>
      </c>
      <c r="O426" s="1135">
        <v>16</v>
      </c>
      <c r="P426" s="1135">
        <v>60000</v>
      </c>
      <c r="Q426" s="1135">
        <v>16</v>
      </c>
      <c r="R426" s="1135">
        <v>100000</v>
      </c>
      <c r="S426" s="1135">
        <v>16</v>
      </c>
      <c r="T426" s="1135">
        <v>150000</v>
      </c>
      <c r="U426" s="1135">
        <v>16</v>
      </c>
      <c r="V426" s="1135">
        <v>200000</v>
      </c>
      <c r="W426" s="1122">
        <f>S426</f>
        <v>16</v>
      </c>
      <c r="X426" s="1118"/>
      <c r="Y426" s="1111" t="s">
        <v>1425</v>
      </c>
    </row>
    <row r="427" spans="2:25" x14ac:dyDescent="0.25">
      <c r="B427" s="1850"/>
      <c r="C427" s="19"/>
      <c r="D427" s="19"/>
      <c r="E427" s="19"/>
      <c r="F427" s="19"/>
      <c r="G427" s="1768"/>
      <c r="H427" s="1768"/>
      <c r="I427" s="1134"/>
      <c r="J427" s="1147"/>
      <c r="K427" s="1135"/>
      <c r="L427" s="1135"/>
      <c r="M427" s="1135"/>
      <c r="N427" s="1135"/>
      <c r="O427" s="1135"/>
      <c r="P427" s="1135"/>
      <c r="Q427" s="1135"/>
      <c r="R427" s="1135"/>
      <c r="S427" s="1135"/>
      <c r="T427" s="1135"/>
      <c r="U427" s="1135"/>
      <c r="V427" s="1135"/>
      <c r="W427" s="1122"/>
      <c r="X427" s="1118"/>
      <c r="Y427" s="1111"/>
    </row>
    <row r="428" spans="2:25" ht="36" x14ac:dyDescent="0.25">
      <c r="B428" s="1850"/>
      <c r="C428" s="19"/>
      <c r="D428" s="19"/>
      <c r="E428" s="403" t="s">
        <v>4079</v>
      </c>
      <c r="F428" s="685" t="s">
        <v>4078</v>
      </c>
      <c r="G428" s="1848" t="s">
        <v>4077</v>
      </c>
      <c r="I428" s="1853" t="s">
        <v>1626</v>
      </c>
      <c r="J428" s="1834">
        <v>17149.259999999998</v>
      </c>
      <c r="K428" s="1834">
        <v>17320.75</v>
      </c>
      <c r="L428" s="654"/>
      <c r="M428" s="1834">
        <v>17493.95</v>
      </c>
      <c r="N428" s="654"/>
      <c r="O428" s="1834">
        <v>17668.889500000001</v>
      </c>
      <c r="P428" s="1852"/>
      <c r="Q428" s="1834">
        <v>17845.569500000001</v>
      </c>
      <c r="R428" s="1852"/>
      <c r="S428" s="1834">
        <v>18024.0252</v>
      </c>
      <c r="T428" s="1852"/>
      <c r="U428" s="1834">
        <v>18204.265200000002</v>
      </c>
      <c r="V428" s="1852"/>
      <c r="W428" s="1834">
        <v>18204.265200000002</v>
      </c>
      <c r="X428" s="1118"/>
      <c r="Y428" s="1111"/>
    </row>
    <row r="429" spans="2:25" ht="36" x14ac:dyDescent="0.25">
      <c r="B429" s="1850"/>
      <c r="C429" s="19"/>
      <c r="D429" s="19"/>
      <c r="E429" s="19"/>
      <c r="F429" s="19"/>
      <c r="G429" s="211" t="s">
        <v>3733</v>
      </c>
      <c r="H429" s="1146" t="s">
        <v>3734</v>
      </c>
      <c r="I429" s="215" t="s">
        <v>1626</v>
      </c>
      <c r="J429" s="1160">
        <v>17149.259999999998</v>
      </c>
      <c r="K429" s="1115">
        <v>171.49</v>
      </c>
      <c r="L429" s="1151">
        <f>L431+L433</f>
        <v>480000</v>
      </c>
      <c r="M429" s="1152">
        <v>0</v>
      </c>
      <c r="N429" s="1152">
        <v>0</v>
      </c>
      <c r="O429" s="1152">
        <v>0</v>
      </c>
      <c r="P429" s="1152">
        <v>0</v>
      </c>
      <c r="Q429" s="1152">
        <v>0</v>
      </c>
      <c r="R429" s="1152">
        <v>0</v>
      </c>
      <c r="S429" s="1152">
        <v>0</v>
      </c>
      <c r="T429" s="1152">
        <v>0</v>
      </c>
      <c r="U429" s="1152">
        <v>0</v>
      </c>
      <c r="V429" s="1139"/>
      <c r="W429" s="1130">
        <f t="shared" ref="W429:W437" si="5">S429</f>
        <v>0</v>
      </c>
      <c r="X429" s="1118"/>
      <c r="Y429" s="1111" t="s">
        <v>1425</v>
      </c>
    </row>
    <row r="430" spans="2:25" ht="36" x14ac:dyDescent="0.25">
      <c r="B430" s="1850"/>
      <c r="C430" s="19"/>
      <c r="D430" s="19"/>
      <c r="E430" s="19"/>
      <c r="F430" s="19"/>
      <c r="G430" s="211"/>
      <c r="H430" s="1146" t="s">
        <v>3735</v>
      </c>
      <c r="I430" s="215" t="s">
        <v>3692</v>
      </c>
      <c r="J430" s="1073">
        <v>18673000</v>
      </c>
      <c r="K430" s="1151">
        <v>18675078</v>
      </c>
      <c r="L430" s="1151">
        <f>L435</f>
        <v>140000</v>
      </c>
      <c r="M430" s="1152">
        <v>0</v>
      </c>
      <c r="N430" s="1152">
        <v>0</v>
      </c>
      <c r="O430" s="1152">
        <v>0</v>
      </c>
      <c r="P430" s="1152">
        <v>0</v>
      </c>
      <c r="Q430" s="1152">
        <v>0</v>
      </c>
      <c r="R430" s="1152">
        <v>0</v>
      </c>
      <c r="S430" s="1152">
        <v>0</v>
      </c>
      <c r="T430" s="1152">
        <v>0</v>
      </c>
      <c r="U430" s="1152">
        <v>0</v>
      </c>
      <c r="V430" s="1139"/>
      <c r="W430" s="1153">
        <f t="shared" si="5"/>
        <v>0</v>
      </c>
      <c r="X430" s="1118"/>
      <c r="Y430" s="1111" t="s">
        <v>1425</v>
      </c>
    </row>
    <row r="431" spans="2:25" x14ac:dyDescent="0.25">
      <c r="B431" s="1850"/>
      <c r="C431" s="19"/>
      <c r="D431" s="19"/>
      <c r="E431" s="19"/>
      <c r="F431" s="19"/>
      <c r="G431" s="1133" t="s">
        <v>2728</v>
      </c>
      <c r="H431" s="1133" t="s">
        <v>2729</v>
      </c>
      <c r="I431" s="1134" t="s">
        <v>2584</v>
      </c>
      <c r="J431" s="1147"/>
      <c r="K431" s="1135">
        <v>110</v>
      </c>
      <c r="L431" s="1135">
        <v>420000</v>
      </c>
      <c r="M431" s="1139"/>
      <c r="N431" s="1139"/>
      <c r="O431" s="1139"/>
      <c r="P431" s="1139"/>
      <c r="Q431" s="1139"/>
      <c r="R431" s="1139"/>
      <c r="S431" s="1139"/>
      <c r="T431" s="1139"/>
      <c r="U431" s="1139"/>
      <c r="V431" s="1139"/>
      <c r="W431" s="1130">
        <f t="shared" si="5"/>
        <v>0</v>
      </c>
      <c r="X431" s="1118"/>
      <c r="Y431" s="1111" t="s">
        <v>1425</v>
      </c>
    </row>
    <row r="432" spans="2:25" ht="51" x14ac:dyDescent="0.25">
      <c r="B432" s="1850"/>
      <c r="C432" s="19"/>
      <c r="D432" s="19"/>
      <c r="E432" s="19"/>
      <c r="F432" s="19"/>
      <c r="G432" s="1133"/>
      <c r="H432" s="1133" t="s">
        <v>3736</v>
      </c>
      <c r="I432" s="1134"/>
      <c r="J432" s="1147"/>
      <c r="K432" s="1135"/>
      <c r="L432" s="1135"/>
      <c r="M432" s="1139"/>
      <c r="N432" s="1139"/>
      <c r="O432" s="1139"/>
      <c r="P432" s="1139"/>
      <c r="Q432" s="1139"/>
      <c r="R432" s="1139"/>
      <c r="S432" s="1139"/>
      <c r="T432" s="1139"/>
      <c r="U432" s="1139"/>
      <c r="V432" s="1139"/>
      <c r="W432" s="1130">
        <f t="shared" si="5"/>
        <v>0</v>
      </c>
      <c r="X432" s="1118"/>
      <c r="Y432" s="1111" t="s">
        <v>1425</v>
      </c>
    </row>
    <row r="433" spans="2:25" ht="25.5" x14ac:dyDescent="0.25">
      <c r="B433" s="1850"/>
      <c r="C433" s="19"/>
      <c r="D433" s="19"/>
      <c r="E433" s="19"/>
      <c r="F433" s="19"/>
      <c r="G433" s="1118" t="s">
        <v>2734</v>
      </c>
      <c r="H433" s="1133" t="s">
        <v>3737</v>
      </c>
      <c r="I433" s="1134" t="s">
        <v>103</v>
      </c>
      <c r="J433" s="1147"/>
      <c r="K433" s="1135">
        <v>7</v>
      </c>
      <c r="L433" s="1135">
        <v>60000</v>
      </c>
      <c r="M433" s="1139"/>
      <c r="N433" s="1139"/>
      <c r="O433" s="1139"/>
      <c r="P433" s="1139"/>
      <c r="Q433" s="1139"/>
      <c r="R433" s="1139"/>
      <c r="S433" s="1139"/>
      <c r="T433" s="1139"/>
      <c r="U433" s="1139"/>
      <c r="V433" s="1139"/>
      <c r="W433" s="1130">
        <f t="shared" si="5"/>
        <v>0</v>
      </c>
      <c r="X433" s="1118"/>
      <c r="Y433" s="1111" t="s">
        <v>1425</v>
      </c>
    </row>
    <row r="434" spans="2:25" ht="13.5" customHeight="1" x14ac:dyDescent="0.25">
      <c r="B434" s="1850"/>
      <c r="C434" s="19"/>
      <c r="D434" s="19"/>
      <c r="E434" s="19"/>
      <c r="F434" s="19"/>
      <c r="G434" s="1118"/>
      <c r="H434" s="1133" t="s">
        <v>3738</v>
      </c>
      <c r="I434" s="1134" t="s">
        <v>75</v>
      </c>
      <c r="J434" s="1147"/>
      <c r="K434" s="1135">
        <v>15</v>
      </c>
      <c r="L434" s="1135">
        <v>0</v>
      </c>
      <c r="M434" s="1139"/>
      <c r="N434" s="1139"/>
      <c r="O434" s="1139"/>
      <c r="P434" s="1139"/>
      <c r="Q434" s="1139"/>
      <c r="R434" s="1139"/>
      <c r="S434" s="1139"/>
      <c r="T434" s="1139"/>
      <c r="U434" s="1139"/>
      <c r="V434" s="1139"/>
      <c r="W434" s="1130">
        <f t="shared" si="5"/>
        <v>0</v>
      </c>
      <c r="X434" s="1118"/>
      <c r="Y434" s="1111" t="s">
        <v>1425</v>
      </c>
    </row>
    <row r="435" spans="2:25" ht="13.5" customHeight="1" x14ac:dyDescent="0.25">
      <c r="B435" s="1850"/>
      <c r="C435" s="19"/>
      <c r="D435" s="19"/>
      <c r="E435" s="19"/>
      <c r="F435" s="19"/>
      <c r="G435" s="1118" t="s">
        <v>2730</v>
      </c>
      <c r="H435" s="1133" t="s">
        <v>2731</v>
      </c>
      <c r="I435" s="1134" t="s">
        <v>103</v>
      </c>
      <c r="J435" s="1147"/>
      <c r="K435" s="1135">
        <v>9</v>
      </c>
      <c r="L435" s="1135">
        <v>140000</v>
      </c>
      <c r="M435" s="1139"/>
      <c r="N435" s="1139"/>
      <c r="O435" s="1139"/>
      <c r="P435" s="1139"/>
      <c r="Q435" s="1139"/>
      <c r="R435" s="1139"/>
      <c r="S435" s="1139"/>
      <c r="T435" s="1139"/>
      <c r="U435" s="1139"/>
      <c r="V435" s="1139"/>
      <c r="W435" s="1130">
        <f t="shared" si="5"/>
        <v>0</v>
      </c>
      <c r="X435" s="1118"/>
      <c r="Y435" s="1111" t="s">
        <v>1425</v>
      </c>
    </row>
    <row r="436" spans="2:25" ht="13.5" customHeight="1" x14ac:dyDescent="0.25">
      <c r="B436" s="1850"/>
      <c r="C436" s="19"/>
      <c r="D436" s="19"/>
      <c r="E436" s="19"/>
      <c r="F436" s="19"/>
      <c r="G436" s="1118"/>
      <c r="H436" s="1133" t="s">
        <v>2732</v>
      </c>
      <c r="I436" s="1134" t="s">
        <v>103</v>
      </c>
      <c r="J436" s="1147"/>
      <c r="K436" s="1135">
        <v>6</v>
      </c>
      <c r="L436" s="1135">
        <v>0</v>
      </c>
      <c r="M436" s="1139"/>
      <c r="N436" s="1139"/>
      <c r="O436" s="1139"/>
      <c r="P436" s="1139"/>
      <c r="Q436" s="1139"/>
      <c r="R436" s="1139"/>
      <c r="S436" s="1139"/>
      <c r="T436" s="1139"/>
      <c r="U436" s="1139"/>
      <c r="V436" s="1139"/>
      <c r="W436" s="1130">
        <f t="shared" si="5"/>
        <v>0</v>
      </c>
      <c r="X436" s="1118"/>
      <c r="Y436" s="1111" t="s">
        <v>1425</v>
      </c>
    </row>
    <row r="437" spans="2:25" ht="13.5" customHeight="1" x14ac:dyDescent="0.25">
      <c r="B437" s="1851"/>
      <c r="C437" s="1847"/>
      <c r="D437" s="1847"/>
      <c r="E437" s="1847"/>
      <c r="F437" s="1847"/>
      <c r="G437" s="1118"/>
      <c r="H437" s="1133" t="s">
        <v>2733</v>
      </c>
      <c r="I437" s="1134" t="s">
        <v>103</v>
      </c>
      <c r="J437" s="1147"/>
      <c r="K437" s="1135">
        <v>3</v>
      </c>
      <c r="L437" s="1135">
        <v>0</v>
      </c>
      <c r="M437" s="1139"/>
      <c r="N437" s="1139"/>
      <c r="O437" s="1139"/>
      <c r="P437" s="1139"/>
      <c r="Q437" s="1139"/>
      <c r="R437" s="1139"/>
      <c r="S437" s="1139"/>
      <c r="T437" s="1139"/>
      <c r="U437" s="1139"/>
      <c r="V437" s="1139"/>
      <c r="W437" s="1130">
        <f t="shared" si="5"/>
        <v>0</v>
      </c>
      <c r="X437" s="1118"/>
      <c r="Y437" s="1111" t="s">
        <v>1425</v>
      </c>
    </row>
    <row r="438" spans="2:25" ht="48" x14ac:dyDescent="0.25">
      <c r="B438" s="1850"/>
      <c r="C438" s="19"/>
      <c r="D438" s="19"/>
      <c r="E438" s="19"/>
      <c r="F438" s="18"/>
      <c r="G438" s="1146" t="s">
        <v>1428</v>
      </c>
      <c r="H438" s="211" t="s">
        <v>3719</v>
      </c>
      <c r="I438" s="1148" t="s">
        <v>19</v>
      </c>
      <c r="J438" s="1149">
        <v>2.64</v>
      </c>
      <c r="K438" s="1150">
        <v>2.2999999999999998</v>
      </c>
      <c r="L438" s="1151">
        <f>L439+L440+L443</f>
        <v>3200552</v>
      </c>
      <c r="M438" s="1152">
        <f t="shared" ref="M438:W438" si="6">M439+M440+M443</f>
        <v>0</v>
      </c>
      <c r="N438" s="1152">
        <f t="shared" si="6"/>
        <v>0</v>
      </c>
      <c r="O438" s="1152">
        <f t="shared" si="6"/>
        <v>0</v>
      </c>
      <c r="P438" s="1152">
        <f t="shared" si="6"/>
        <v>0</v>
      </c>
      <c r="Q438" s="1152">
        <f t="shared" si="6"/>
        <v>0</v>
      </c>
      <c r="R438" s="1152">
        <f t="shared" si="6"/>
        <v>0</v>
      </c>
      <c r="S438" s="1152">
        <f t="shared" si="6"/>
        <v>0</v>
      </c>
      <c r="T438" s="1152">
        <f t="shared" si="6"/>
        <v>0</v>
      </c>
      <c r="U438" s="1152">
        <f t="shared" si="6"/>
        <v>0</v>
      </c>
      <c r="V438" s="1152">
        <f t="shared" si="6"/>
        <v>0</v>
      </c>
      <c r="W438" s="1152">
        <f t="shared" si="6"/>
        <v>0</v>
      </c>
      <c r="X438" s="211"/>
      <c r="Y438" s="1111" t="s">
        <v>1425</v>
      </c>
    </row>
    <row r="439" spans="2:25" ht="38.25" x14ac:dyDescent="0.25">
      <c r="B439" s="1850"/>
      <c r="C439" s="19"/>
      <c r="D439" s="19"/>
      <c r="E439" s="19"/>
      <c r="F439" s="19"/>
      <c r="G439" s="1133" t="s">
        <v>2718</v>
      </c>
      <c r="H439" s="1133" t="s">
        <v>3720</v>
      </c>
      <c r="I439" s="1134" t="s">
        <v>1429</v>
      </c>
      <c r="J439" s="1147">
        <v>8</v>
      </c>
      <c r="K439" s="1135">
        <v>8</v>
      </c>
      <c r="L439" s="1135">
        <v>300000</v>
      </c>
      <c r="M439" s="1139">
        <v>0</v>
      </c>
      <c r="N439" s="1139">
        <v>0</v>
      </c>
      <c r="O439" s="1139">
        <v>0</v>
      </c>
      <c r="P439" s="1139">
        <v>0</v>
      </c>
      <c r="Q439" s="1139">
        <v>0</v>
      </c>
      <c r="R439" s="1139">
        <v>0</v>
      </c>
      <c r="S439" s="1139">
        <v>0</v>
      </c>
      <c r="T439" s="1139">
        <v>0</v>
      </c>
      <c r="U439" s="1139">
        <v>0</v>
      </c>
      <c r="V439" s="1139">
        <v>0</v>
      </c>
      <c r="W439" s="1130">
        <f>S439</f>
        <v>0</v>
      </c>
      <c r="X439" s="1118"/>
      <c r="Y439" s="1111" t="s">
        <v>1425</v>
      </c>
    </row>
    <row r="440" spans="2:25" ht="76.5" x14ac:dyDescent="0.25">
      <c r="B440" s="1850"/>
      <c r="C440" s="19"/>
      <c r="D440" s="19"/>
      <c r="E440" s="19"/>
      <c r="F440" s="19"/>
      <c r="G440" s="1118" t="s">
        <v>2719</v>
      </c>
      <c r="H440" s="1118" t="s">
        <v>3721</v>
      </c>
      <c r="I440" s="1134" t="s">
        <v>103</v>
      </c>
      <c r="J440" s="1147">
        <v>15</v>
      </c>
      <c r="K440" s="1135">
        <v>6</v>
      </c>
      <c r="L440" s="1135">
        <v>50000</v>
      </c>
      <c r="M440" s="1139">
        <v>0</v>
      </c>
      <c r="N440" s="1139">
        <v>0</v>
      </c>
      <c r="O440" s="1139">
        <v>0</v>
      </c>
      <c r="P440" s="1139">
        <v>0</v>
      </c>
      <c r="Q440" s="1139">
        <v>0</v>
      </c>
      <c r="R440" s="1139">
        <v>0</v>
      </c>
      <c r="S440" s="1139">
        <v>0</v>
      </c>
      <c r="T440" s="1139">
        <v>0</v>
      </c>
      <c r="U440" s="1139">
        <v>0</v>
      </c>
      <c r="V440" s="1139">
        <v>0</v>
      </c>
      <c r="W440" s="1130">
        <f>S440</f>
        <v>0</v>
      </c>
      <c r="X440" s="1118"/>
      <c r="Y440" s="1111" t="s">
        <v>1425</v>
      </c>
    </row>
    <row r="441" spans="2:25" ht="51" x14ac:dyDescent="0.25">
      <c r="B441" s="1850"/>
      <c r="C441" s="19"/>
      <c r="D441" s="19"/>
      <c r="E441" s="19"/>
      <c r="F441" s="19"/>
      <c r="G441" s="1118"/>
      <c r="H441" s="1118" t="s">
        <v>3722</v>
      </c>
      <c r="I441" s="1134" t="s">
        <v>103</v>
      </c>
      <c r="J441" s="1147">
        <v>12</v>
      </c>
      <c r="K441" s="1135">
        <v>1</v>
      </c>
      <c r="L441" s="1135"/>
      <c r="M441" s="1139"/>
      <c r="N441" s="1139"/>
      <c r="O441" s="1139"/>
      <c r="P441" s="1139"/>
      <c r="Q441" s="1139"/>
      <c r="R441" s="1139"/>
      <c r="S441" s="1139"/>
      <c r="T441" s="1139"/>
      <c r="U441" s="1139"/>
      <c r="V441" s="1139"/>
      <c r="W441" s="1140"/>
      <c r="X441" s="1118"/>
      <c r="Y441" s="1111" t="s">
        <v>1425</v>
      </c>
    </row>
    <row r="442" spans="2:25" ht="25.5" x14ac:dyDescent="0.25">
      <c r="B442" s="1850"/>
      <c r="C442" s="19"/>
      <c r="D442" s="19"/>
      <c r="E442" s="19"/>
      <c r="F442" s="19"/>
      <c r="G442" s="1118"/>
      <c r="H442" s="1118" t="s">
        <v>3723</v>
      </c>
      <c r="I442" s="1134" t="s">
        <v>2763</v>
      </c>
      <c r="J442" s="1147">
        <v>0</v>
      </c>
      <c r="K442" s="1135">
        <v>1</v>
      </c>
      <c r="L442" s="1135"/>
      <c r="M442" s="1139"/>
      <c r="N442" s="1139"/>
      <c r="O442" s="1139"/>
      <c r="P442" s="1139"/>
      <c r="Q442" s="1139"/>
      <c r="R442" s="1139"/>
      <c r="S442" s="1139"/>
      <c r="T442" s="1139"/>
      <c r="U442" s="1139"/>
      <c r="V442" s="1139"/>
      <c r="W442" s="1140"/>
      <c r="X442" s="1118"/>
      <c r="Y442" s="1111" t="s">
        <v>1425</v>
      </c>
    </row>
    <row r="443" spans="2:25" ht="38.25" x14ac:dyDescent="0.25">
      <c r="B443" s="1850"/>
      <c r="C443" s="19"/>
      <c r="D443" s="19"/>
      <c r="E443" s="19"/>
      <c r="F443" s="19"/>
      <c r="G443" s="1118" t="s">
        <v>2720</v>
      </c>
      <c r="H443" s="1133" t="s">
        <v>2721</v>
      </c>
      <c r="I443" s="1134" t="s">
        <v>2584</v>
      </c>
      <c r="J443" s="1147"/>
      <c r="K443" s="1135">
        <v>125</v>
      </c>
      <c r="L443" s="1135">
        <v>2850552</v>
      </c>
      <c r="M443" s="1139">
        <v>0</v>
      </c>
      <c r="N443" s="1139">
        <v>0</v>
      </c>
      <c r="O443" s="1139">
        <v>0</v>
      </c>
      <c r="P443" s="1139">
        <v>0</v>
      </c>
      <c r="Q443" s="1139">
        <v>0</v>
      </c>
      <c r="R443" s="1139">
        <v>0</v>
      </c>
      <c r="S443" s="1139">
        <v>0</v>
      </c>
      <c r="T443" s="1139">
        <v>0</v>
      </c>
      <c r="U443" s="1139">
        <v>0</v>
      </c>
      <c r="V443" s="1139">
        <v>0</v>
      </c>
      <c r="W443" s="1140">
        <v>0</v>
      </c>
      <c r="X443" s="1118"/>
      <c r="Y443" s="1111" t="s">
        <v>1425</v>
      </c>
    </row>
    <row r="444" spans="2:25" ht="25.5" x14ac:dyDescent="0.25">
      <c r="B444" s="1850"/>
      <c r="C444" s="19"/>
      <c r="D444" s="19"/>
      <c r="E444" s="19"/>
      <c r="F444" s="19"/>
      <c r="G444" s="1118"/>
      <c r="H444" s="1133" t="s">
        <v>2722</v>
      </c>
      <c r="I444" s="1134" t="s">
        <v>2584</v>
      </c>
      <c r="J444" s="1147"/>
      <c r="K444" s="1135">
        <v>10</v>
      </c>
      <c r="L444" s="1135">
        <v>0</v>
      </c>
      <c r="M444" s="1139"/>
      <c r="N444" s="1139"/>
      <c r="O444" s="1139"/>
      <c r="P444" s="1139"/>
      <c r="Q444" s="1139"/>
      <c r="R444" s="1139"/>
      <c r="S444" s="1139"/>
      <c r="T444" s="1139"/>
      <c r="U444" s="1139"/>
      <c r="V444" s="1139"/>
      <c r="W444" s="1140"/>
      <c r="X444" s="1118"/>
      <c r="Y444" s="1111" t="s">
        <v>1425</v>
      </c>
    </row>
    <row r="445" spans="2:25" x14ac:dyDescent="0.25">
      <c r="B445" s="1850"/>
      <c r="C445" s="19"/>
      <c r="D445" s="19"/>
      <c r="E445" s="19"/>
      <c r="F445" s="19"/>
      <c r="G445" s="1118"/>
      <c r="H445" s="1133" t="s">
        <v>3724</v>
      </c>
      <c r="I445" s="1134" t="s">
        <v>75</v>
      </c>
      <c r="J445" s="1147"/>
      <c r="K445" s="1135">
        <v>20</v>
      </c>
      <c r="L445" s="1135">
        <v>0</v>
      </c>
      <c r="M445" s="1139"/>
      <c r="N445" s="1139"/>
      <c r="O445" s="1139"/>
      <c r="P445" s="1139"/>
      <c r="Q445" s="1139"/>
      <c r="R445" s="1139"/>
      <c r="S445" s="1139"/>
      <c r="T445" s="1139"/>
      <c r="U445" s="1139"/>
      <c r="V445" s="1139"/>
      <c r="W445" s="1140"/>
      <c r="X445" s="1118"/>
      <c r="Y445" s="1111" t="s">
        <v>1425</v>
      </c>
    </row>
    <row r="446" spans="2:25" x14ac:dyDescent="0.25">
      <c r="B446" s="1850"/>
      <c r="C446" s="19"/>
      <c r="D446" s="19"/>
      <c r="E446" s="19"/>
      <c r="F446" s="19"/>
      <c r="G446" s="1118"/>
      <c r="H446" s="1133" t="s">
        <v>3725</v>
      </c>
      <c r="I446" s="1134" t="s">
        <v>75</v>
      </c>
      <c r="J446" s="1147"/>
      <c r="K446" s="1135">
        <v>60</v>
      </c>
      <c r="L446" s="1135">
        <v>0</v>
      </c>
      <c r="M446" s="1139"/>
      <c r="N446" s="1139"/>
      <c r="O446" s="1139"/>
      <c r="P446" s="1139"/>
      <c r="Q446" s="1139"/>
      <c r="R446" s="1139"/>
      <c r="S446" s="1139"/>
      <c r="T446" s="1139"/>
      <c r="U446" s="1139"/>
      <c r="V446" s="1139"/>
      <c r="W446" s="1140"/>
      <c r="X446" s="1118"/>
      <c r="Y446" s="1111" t="s">
        <v>1425</v>
      </c>
    </row>
    <row r="447" spans="2:25" x14ac:dyDescent="0.25">
      <c r="B447" s="1850"/>
      <c r="C447" s="19"/>
      <c r="D447" s="19"/>
      <c r="E447" s="19"/>
      <c r="F447" s="19"/>
      <c r="G447" s="1118"/>
      <c r="H447" s="1133" t="s">
        <v>3726</v>
      </c>
      <c r="I447" s="1134" t="s">
        <v>75</v>
      </c>
      <c r="J447" s="1147"/>
      <c r="K447" s="1135">
        <v>1</v>
      </c>
      <c r="L447" s="1135"/>
      <c r="M447" s="1139"/>
      <c r="N447" s="1139"/>
      <c r="O447" s="1139"/>
      <c r="P447" s="1139"/>
      <c r="Q447" s="1139"/>
      <c r="R447" s="1139"/>
      <c r="S447" s="1139"/>
      <c r="T447" s="1139"/>
      <c r="U447" s="1139"/>
      <c r="V447" s="1139"/>
      <c r="W447" s="1140"/>
      <c r="X447" s="1118"/>
      <c r="Y447" s="1111" t="s">
        <v>1425</v>
      </c>
    </row>
    <row r="448" spans="2:25" x14ac:dyDescent="0.25">
      <c r="B448" s="1850"/>
      <c r="C448" s="19"/>
      <c r="D448" s="19"/>
      <c r="E448" s="19"/>
      <c r="F448" s="19"/>
      <c r="G448" s="1118"/>
      <c r="H448" s="1133" t="s">
        <v>3727</v>
      </c>
      <c r="I448" s="1134" t="s">
        <v>75</v>
      </c>
      <c r="J448" s="1147"/>
      <c r="K448" s="1135">
        <v>1</v>
      </c>
      <c r="L448" s="1135"/>
      <c r="M448" s="1139"/>
      <c r="N448" s="1139"/>
      <c r="O448" s="1139"/>
      <c r="P448" s="1139"/>
      <c r="Q448" s="1139"/>
      <c r="R448" s="1139"/>
      <c r="S448" s="1139"/>
      <c r="T448" s="1139"/>
      <c r="U448" s="1139"/>
      <c r="V448" s="1139"/>
      <c r="W448" s="1140"/>
      <c r="X448" s="1118"/>
      <c r="Y448" s="1111" t="s">
        <v>1425</v>
      </c>
    </row>
    <row r="449" spans="2:25" ht="51" x14ac:dyDescent="0.25">
      <c r="B449" s="1850"/>
      <c r="C449" s="19"/>
      <c r="D449" s="19"/>
      <c r="E449" s="19"/>
      <c r="F449" s="19"/>
      <c r="G449" s="1118"/>
      <c r="H449" s="1133" t="s">
        <v>3728</v>
      </c>
      <c r="I449" s="1134" t="s">
        <v>69</v>
      </c>
      <c r="J449" s="1147"/>
      <c r="K449" s="1135">
        <v>1</v>
      </c>
      <c r="L449" s="1135"/>
      <c r="M449" s="1139"/>
      <c r="N449" s="1139"/>
      <c r="O449" s="1139"/>
      <c r="P449" s="1139"/>
      <c r="Q449" s="1139"/>
      <c r="R449" s="1139"/>
      <c r="S449" s="1139"/>
      <c r="T449" s="1139"/>
      <c r="U449" s="1139"/>
      <c r="V449" s="1139"/>
      <c r="W449" s="1140"/>
      <c r="X449" s="1118"/>
      <c r="Y449" s="1111" t="s">
        <v>1425</v>
      </c>
    </row>
    <row r="450" spans="2:25" ht="51" x14ac:dyDescent="0.25">
      <c r="B450" s="1850"/>
      <c r="C450" s="19"/>
      <c r="D450" s="19"/>
      <c r="E450" s="19"/>
      <c r="F450" s="19"/>
      <c r="G450" s="1118"/>
      <c r="H450" s="1133" t="s">
        <v>3729</v>
      </c>
      <c r="I450" s="1134" t="s">
        <v>69</v>
      </c>
      <c r="J450" s="1147"/>
      <c r="K450" s="1135">
        <v>1</v>
      </c>
      <c r="L450" s="1135"/>
      <c r="M450" s="1139"/>
      <c r="N450" s="1139"/>
      <c r="O450" s="1139"/>
      <c r="P450" s="1139"/>
      <c r="Q450" s="1139"/>
      <c r="R450" s="1139"/>
      <c r="S450" s="1139"/>
      <c r="T450" s="1139"/>
      <c r="U450" s="1139"/>
      <c r="V450" s="1139"/>
      <c r="W450" s="1140"/>
      <c r="X450" s="1118"/>
      <c r="Y450" s="1111" t="s">
        <v>1425</v>
      </c>
    </row>
    <row r="451" spans="2:25" ht="25.5" x14ac:dyDescent="0.25">
      <c r="B451" s="1850"/>
      <c r="C451" s="19"/>
      <c r="D451" s="19"/>
      <c r="E451" s="19"/>
      <c r="F451" s="19"/>
      <c r="G451" s="1118"/>
      <c r="H451" s="1133" t="s">
        <v>3730</v>
      </c>
      <c r="I451" s="1134" t="s">
        <v>75</v>
      </c>
      <c r="J451" s="1147"/>
      <c r="K451" s="1135">
        <v>3</v>
      </c>
      <c r="L451" s="1135"/>
      <c r="M451" s="1139"/>
      <c r="N451" s="1139"/>
      <c r="O451" s="1139"/>
      <c r="P451" s="1139"/>
      <c r="Q451" s="1139"/>
      <c r="R451" s="1139"/>
      <c r="S451" s="1139"/>
      <c r="T451" s="1139"/>
      <c r="U451" s="1139"/>
      <c r="V451" s="1139"/>
      <c r="W451" s="1140"/>
      <c r="X451" s="1118"/>
      <c r="Y451" s="1111" t="s">
        <v>1425</v>
      </c>
    </row>
    <row r="452" spans="2:25" ht="84" x14ac:dyDescent="0.25">
      <c r="B452" s="1850"/>
      <c r="C452" s="19"/>
      <c r="D452" s="19"/>
      <c r="E452" s="19"/>
      <c r="F452" s="18"/>
      <c r="G452" s="411" t="s">
        <v>1430</v>
      </c>
      <c r="H452" s="411" t="s">
        <v>3731</v>
      </c>
      <c r="I452" s="234" t="s">
        <v>830</v>
      </c>
      <c r="J452" s="412"/>
      <c r="K452" s="413">
        <v>8</v>
      </c>
      <c r="L452" s="413">
        <f>L453</f>
        <v>174138</v>
      </c>
      <c r="M452" s="1154">
        <v>0</v>
      </c>
      <c r="N452" s="1154">
        <v>0</v>
      </c>
      <c r="O452" s="1154">
        <v>0</v>
      </c>
      <c r="P452" s="1154">
        <v>0</v>
      </c>
      <c r="Q452" s="1154">
        <v>0</v>
      </c>
      <c r="R452" s="1154">
        <v>0</v>
      </c>
      <c r="S452" s="1154">
        <v>0</v>
      </c>
      <c r="T452" s="1154">
        <v>0</v>
      </c>
      <c r="U452" s="1154">
        <v>0</v>
      </c>
      <c r="V452" s="1154"/>
      <c r="W452" s="1155">
        <f>S452</f>
        <v>0</v>
      </c>
      <c r="X452" s="1156"/>
      <c r="Y452" s="1111" t="s">
        <v>1425</v>
      </c>
    </row>
    <row r="453" spans="2:25" ht="38.25" x14ac:dyDescent="0.25">
      <c r="B453" s="1850"/>
      <c r="C453" s="19"/>
      <c r="D453" s="19"/>
      <c r="E453" s="19"/>
      <c r="F453" s="19"/>
      <c r="G453" s="10" t="s">
        <v>2726</v>
      </c>
      <c r="H453" s="406" t="s">
        <v>3732</v>
      </c>
      <c r="I453" s="407" t="s">
        <v>103</v>
      </c>
      <c r="J453" s="408"/>
      <c r="K453" s="409">
        <v>216</v>
      </c>
      <c r="L453" s="409">
        <v>174138</v>
      </c>
      <c r="M453" s="1157"/>
      <c r="N453" s="1157"/>
      <c r="O453" s="1157"/>
      <c r="P453" s="1157"/>
      <c r="Q453" s="1157"/>
      <c r="R453" s="1157"/>
      <c r="S453" s="1157"/>
      <c r="T453" s="1157"/>
      <c r="U453" s="1157"/>
      <c r="V453" s="1157"/>
      <c r="W453" s="1158">
        <f>S453</f>
        <v>0</v>
      </c>
      <c r="X453" s="1159"/>
      <c r="Y453" s="1111" t="s">
        <v>1425</v>
      </c>
    </row>
    <row r="454" spans="2:25" ht="25.5" x14ac:dyDescent="0.25">
      <c r="B454" s="1850"/>
      <c r="C454" s="19"/>
      <c r="D454" s="19"/>
      <c r="E454" s="19"/>
      <c r="F454" s="19"/>
      <c r="G454" s="10"/>
      <c r="H454" s="406" t="s">
        <v>2727</v>
      </c>
      <c r="I454" s="407" t="s">
        <v>75</v>
      </c>
      <c r="J454" s="408"/>
      <c r="K454" s="409">
        <v>1</v>
      </c>
      <c r="L454" s="409">
        <v>0</v>
      </c>
      <c r="M454" s="1157"/>
      <c r="N454" s="1157"/>
      <c r="O454" s="1157"/>
      <c r="P454" s="1157"/>
      <c r="Q454" s="1157"/>
      <c r="R454" s="1157"/>
      <c r="S454" s="1157"/>
      <c r="T454" s="1157"/>
      <c r="U454" s="1157"/>
      <c r="V454" s="1157"/>
      <c r="W454" s="1158">
        <f>S454</f>
        <v>0</v>
      </c>
      <c r="X454" s="1159"/>
      <c r="Y454" s="1111" t="s">
        <v>1425</v>
      </c>
    </row>
    <row r="455" spans="2:25" ht="13.5" customHeight="1" x14ac:dyDescent="0.25">
      <c r="B455" s="1162"/>
      <c r="C455" s="1163"/>
      <c r="D455" s="406"/>
      <c r="E455" s="406"/>
      <c r="F455" s="10"/>
      <c r="G455" s="1118"/>
      <c r="H455" s="1133"/>
      <c r="I455" s="1134"/>
      <c r="J455" s="1147"/>
      <c r="K455" s="1135"/>
      <c r="L455" s="1135"/>
      <c r="M455" s="1139"/>
      <c r="N455" s="1139"/>
      <c r="O455" s="1139"/>
      <c r="P455" s="1139"/>
      <c r="Q455" s="1139"/>
      <c r="R455" s="1139"/>
      <c r="S455" s="1139"/>
      <c r="T455" s="1139"/>
      <c r="U455" s="1139"/>
      <c r="V455" s="1139"/>
      <c r="W455" s="1130"/>
      <c r="X455" s="1161"/>
      <c r="Y455" s="1111" t="s">
        <v>1425</v>
      </c>
    </row>
    <row r="456" spans="2:25" ht="60" customHeight="1" x14ac:dyDescent="0.25">
      <c r="B456" s="1958" t="s">
        <v>33</v>
      </c>
      <c r="C456" s="1946" t="s">
        <v>34</v>
      </c>
      <c r="D456" s="1946" t="s">
        <v>3831</v>
      </c>
      <c r="E456" s="1792" t="s">
        <v>3992</v>
      </c>
      <c r="F456" s="1946" t="s">
        <v>3913</v>
      </c>
      <c r="G456" s="38" t="s">
        <v>3133</v>
      </c>
      <c r="H456" s="411" t="s">
        <v>1356</v>
      </c>
      <c r="I456" s="234" t="s">
        <v>19</v>
      </c>
      <c r="J456" s="412">
        <v>90</v>
      </c>
      <c r="K456" s="413">
        <v>91</v>
      </c>
      <c r="L456" s="413"/>
      <c r="M456" s="413">
        <v>92</v>
      </c>
      <c r="N456" s="413"/>
      <c r="O456" s="413">
        <v>93</v>
      </c>
      <c r="P456" s="413"/>
      <c r="Q456" s="413">
        <v>94</v>
      </c>
      <c r="R456" s="413"/>
      <c r="S456" s="413">
        <v>95</v>
      </c>
      <c r="T456" s="413"/>
      <c r="U456" s="413">
        <v>96</v>
      </c>
      <c r="V456" s="413"/>
      <c r="W456" s="412">
        <v>96</v>
      </c>
      <c r="X456" s="405"/>
      <c r="Y456" s="1111" t="s">
        <v>1425</v>
      </c>
    </row>
    <row r="457" spans="2:25" ht="84" x14ac:dyDescent="0.25">
      <c r="B457" s="1959"/>
      <c r="C457" s="1947"/>
      <c r="D457" s="1947"/>
      <c r="E457" s="1793"/>
      <c r="F457" s="1947"/>
      <c r="G457" s="403" t="s">
        <v>1489</v>
      </c>
      <c r="H457" s="411" t="s">
        <v>1490</v>
      </c>
      <c r="I457" s="234" t="s">
        <v>19</v>
      </c>
      <c r="J457" s="412">
        <v>100</v>
      </c>
      <c r="K457" s="413">
        <v>20</v>
      </c>
      <c r="L457" s="413">
        <f>SUM(L458:L470)</f>
        <v>254700</v>
      </c>
      <c r="M457" s="413">
        <v>20</v>
      </c>
      <c r="N457" s="413">
        <f>SUM(N458:N470)</f>
        <v>280600</v>
      </c>
      <c r="O457" s="413">
        <v>15</v>
      </c>
      <c r="P457" s="413">
        <f>SUM(P458:P470)</f>
        <v>278100</v>
      </c>
      <c r="Q457" s="413">
        <v>15</v>
      </c>
      <c r="R457" s="413">
        <f>SUM(R458:R470)</f>
        <v>303200</v>
      </c>
      <c r="S457" s="413">
        <v>15</v>
      </c>
      <c r="T457" s="413">
        <f>SUM(T458:T470)</f>
        <v>334300</v>
      </c>
      <c r="U457" s="413">
        <v>15</v>
      </c>
      <c r="V457" s="413">
        <f>SUM(V458:V470)</f>
        <v>334300</v>
      </c>
      <c r="W457" s="412">
        <v>100</v>
      </c>
      <c r="X457" s="404"/>
      <c r="Y457" s="1111" t="s">
        <v>1425</v>
      </c>
    </row>
    <row r="458" spans="2:25" ht="38.25" x14ac:dyDescent="0.25">
      <c r="B458" s="1959"/>
      <c r="C458" s="1850"/>
      <c r="D458" s="19"/>
      <c r="E458" s="19"/>
      <c r="F458" s="19"/>
      <c r="G458" s="406" t="s">
        <v>2735</v>
      </c>
      <c r="H458" s="406" t="s">
        <v>2736</v>
      </c>
      <c r="I458" s="407" t="s">
        <v>1950</v>
      </c>
      <c r="J458" s="408"/>
      <c r="K458" s="409">
        <v>12</v>
      </c>
      <c r="L458" s="409">
        <v>2200</v>
      </c>
      <c r="M458" s="409">
        <v>12</v>
      </c>
      <c r="N458" s="409">
        <v>2400</v>
      </c>
      <c r="O458" s="409">
        <v>12</v>
      </c>
      <c r="P458" s="409">
        <v>2600</v>
      </c>
      <c r="Q458" s="409">
        <v>12</v>
      </c>
      <c r="R458" s="409">
        <v>2800</v>
      </c>
      <c r="S458" s="409">
        <v>12</v>
      </c>
      <c r="T458" s="409">
        <v>3000</v>
      </c>
      <c r="U458" s="409">
        <v>12</v>
      </c>
      <c r="V458" s="409">
        <v>3000</v>
      </c>
      <c r="W458" s="408">
        <v>12</v>
      </c>
      <c r="X458" s="414"/>
      <c r="Y458" s="1111" t="s">
        <v>1425</v>
      </c>
    </row>
    <row r="459" spans="2:25" ht="63.75" x14ac:dyDescent="0.25">
      <c r="B459" s="1959"/>
      <c r="C459" s="1850"/>
      <c r="D459" s="19"/>
      <c r="E459" s="19"/>
      <c r="F459" s="19"/>
      <c r="G459" s="406" t="s">
        <v>126</v>
      </c>
      <c r="H459" s="406" t="s">
        <v>2070</v>
      </c>
      <c r="I459" s="407" t="s">
        <v>1950</v>
      </c>
      <c r="J459" s="408"/>
      <c r="K459" s="409">
        <v>12</v>
      </c>
      <c r="L459" s="409">
        <v>26000</v>
      </c>
      <c r="M459" s="409">
        <v>12</v>
      </c>
      <c r="N459" s="409">
        <v>29000</v>
      </c>
      <c r="O459" s="409">
        <v>12</v>
      </c>
      <c r="P459" s="409">
        <v>2600</v>
      </c>
      <c r="Q459" s="409">
        <v>12</v>
      </c>
      <c r="R459" s="409">
        <v>2800</v>
      </c>
      <c r="S459" s="409">
        <v>12</v>
      </c>
      <c r="T459" s="409">
        <v>3000</v>
      </c>
      <c r="U459" s="409">
        <v>12</v>
      </c>
      <c r="V459" s="409">
        <v>3000</v>
      </c>
      <c r="W459" s="408">
        <v>12</v>
      </c>
      <c r="X459" s="414"/>
      <c r="Y459" s="1111" t="s">
        <v>1425</v>
      </c>
    </row>
    <row r="460" spans="2:25" ht="89.25" x14ac:dyDescent="0.25">
      <c r="B460" s="1959"/>
      <c r="C460" s="1850"/>
      <c r="D460" s="19"/>
      <c r="E460" s="19"/>
      <c r="F460" s="19"/>
      <c r="G460" s="406" t="s">
        <v>43</v>
      </c>
      <c r="H460" s="406" t="s">
        <v>128</v>
      </c>
      <c r="I460" s="407" t="s">
        <v>1950</v>
      </c>
      <c r="J460" s="408"/>
      <c r="K460" s="409">
        <v>12</v>
      </c>
      <c r="L460" s="409">
        <v>58000</v>
      </c>
      <c r="M460" s="409">
        <v>12</v>
      </c>
      <c r="N460" s="409">
        <v>64000</v>
      </c>
      <c r="O460" s="409">
        <v>12</v>
      </c>
      <c r="P460" s="409">
        <v>70000</v>
      </c>
      <c r="Q460" s="409">
        <v>12</v>
      </c>
      <c r="R460" s="409">
        <v>76000</v>
      </c>
      <c r="S460" s="409">
        <v>12</v>
      </c>
      <c r="T460" s="409">
        <v>82000</v>
      </c>
      <c r="U460" s="409">
        <v>12</v>
      </c>
      <c r="V460" s="409">
        <v>82000</v>
      </c>
      <c r="W460" s="408">
        <v>12</v>
      </c>
      <c r="X460" s="414"/>
      <c r="Y460" s="1111" t="s">
        <v>1425</v>
      </c>
    </row>
    <row r="461" spans="2:25" ht="51" x14ac:dyDescent="0.25">
      <c r="B461" s="1959"/>
      <c r="C461" s="1850"/>
      <c r="D461" s="19"/>
      <c r="E461" s="19"/>
      <c r="F461" s="19"/>
      <c r="G461" s="406" t="s">
        <v>45</v>
      </c>
      <c r="H461" s="406" t="s">
        <v>46</v>
      </c>
      <c r="I461" s="407" t="s">
        <v>1950</v>
      </c>
      <c r="J461" s="408"/>
      <c r="K461" s="409">
        <v>12</v>
      </c>
      <c r="L461" s="409">
        <v>22000</v>
      </c>
      <c r="M461" s="409">
        <v>12</v>
      </c>
      <c r="N461" s="409">
        <v>24000</v>
      </c>
      <c r="O461" s="409">
        <v>12</v>
      </c>
      <c r="P461" s="409">
        <v>27000</v>
      </c>
      <c r="Q461" s="409">
        <v>12</v>
      </c>
      <c r="R461" s="409">
        <v>30000</v>
      </c>
      <c r="S461" s="409">
        <v>12</v>
      </c>
      <c r="T461" s="409">
        <v>38000</v>
      </c>
      <c r="U461" s="409">
        <v>12</v>
      </c>
      <c r="V461" s="409">
        <v>38000</v>
      </c>
      <c r="W461" s="408">
        <v>12</v>
      </c>
      <c r="X461" s="414"/>
      <c r="Y461" s="1111" t="s">
        <v>1425</v>
      </c>
    </row>
    <row r="462" spans="2:25" ht="51" x14ac:dyDescent="0.25">
      <c r="B462" s="1959"/>
      <c r="C462" s="1850"/>
      <c r="D462" s="19"/>
      <c r="E462" s="19"/>
      <c r="F462" s="19"/>
      <c r="G462" s="415" t="s">
        <v>47</v>
      </c>
      <c r="H462" s="415" t="s">
        <v>458</v>
      </c>
      <c r="I462" s="407" t="s">
        <v>1950</v>
      </c>
      <c r="J462" s="408"/>
      <c r="K462" s="409">
        <v>12</v>
      </c>
      <c r="L462" s="409">
        <v>4000</v>
      </c>
      <c r="M462" s="409">
        <v>12</v>
      </c>
      <c r="N462" s="409">
        <v>4500</v>
      </c>
      <c r="O462" s="409">
        <v>12</v>
      </c>
      <c r="P462" s="409">
        <v>5000</v>
      </c>
      <c r="Q462" s="409">
        <v>12</v>
      </c>
      <c r="R462" s="409">
        <v>5500</v>
      </c>
      <c r="S462" s="409">
        <v>12</v>
      </c>
      <c r="T462" s="409">
        <v>6000</v>
      </c>
      <c r="U462" s="409">
        <v>12</v>
      </c>
      <c r="V462" s="409">
        <v>6000</v>
      </c>
      <c r="W462" s="408">
        <v>12</v>
      </c>
      <c r="X462" s="414"/>
      <c r="Y462" s="1111" t="s">
        <v>1425</v>
      </c>
    </row>
    <row r="463" spans="2:25" ht="63.75" x14ac:dyDescent="0.25">
      <c r="B463" s="1959"/>
      <c r="C463" s="1850"/>
      <c r="D463" s="19"/>
      <c r="E463" s="19"/>
      <c r="F463" s="19"/>
      <c r="G463" s="415" t="s">
        <v>130</v>
      </c>
      <c r="H463" s="415" t="s">
        <v>460</v>
      </c>
      <c r="I463" s="407" t="s">
        <v>1950</v>
      </c>
      <c r="J463" s="408"/>
      <c r="K463" s="409">
        <v>12</v>
      </c>
      <c r="L463" s="409">
        <v>9000</v>
      </c>
      <c r="M463" s="409">
        <v>12</v>
      </c>
      <c r="N463" s="409">
        <v>10000</v>
      </c>
      <c r="O463" s="409">
        <v>12</v>
      </c>
      <c r="P463" s="409">
        <v>11000</v>
      </c>
      <c r="Q463" s="409">
        <v>12</v>
      </c>
      <c r="R463" s="409">
        <v>12000</v>
      </c>
      <c r="S463" s="409">
        <v>12</v>
      </c>
      <c r="T463" s="409">
        <v>13000</v>
      </c>
      <c r="U463" s="409">
        <v>12</v>
      </c>
      <c r="V463" s="409">
        <v>13000</v>
      </c>
      <c r="W463" s="408">
        <v>12</v>
      </c>
      <c r="X463" s="414"/>
      <c r="Y463" s="1111" t="s">
        <v>1425</v>
      </c>
    </row>
    <row r="464" spans="2:25" ht="38.25" x14ac:dyDescent="0.25">
      <c r="B464" s="1959"/>
      <c r="C464" s="1850"/>
      <c r="D464" s="19"/>
      <c r="E464" s="19"/>
      <c r="F464" s="19"/>
      <c r="G464" s="415" t="s">
        <v>50</v>
      </c>
      <c r="H464" s="415" t="s">
        <v>51</v>
      </c>
      <c r="I464" s="407" t="s">
        <v>1950</v>
      </c>
      <c r="J464" s="408"/>
      <c r="K464" s="409">
        <v>12</v>
      </c>
      <c r="L464" s="409">
        <v>15000</v>
      </c>
      <c r="M464" s="409">
        <v>12</v>
      </c>
      <c r="N464" s="409">
        <v>16500</v>
      </c>
      <c r="O464" s="409">
        <v>12</v>
      </c>
      <c r="P464" s="409">
        <v>18000</v>
      </c>
      <c r="Q464" s="409">
        <v>12</v>
      </c>
      <c r="R464" s="409">
        <v>19500</v>
      </c>
      <c r="S464" s="409">
        <v>12</v>
      </c>
      <c r="T464" s="409">
        <v>21000</v>
      </c>
      <c r="U464" s="409">
        <v>12</v>
      </c>
      <c r="V464" s="409">
        <v>21000</v>
      </c>
      <c r="W464" s="408">
        <v>12</v>
      </c>
      <c r="X464" s="414"/>
      <c r="Y464" s="1111" t="s">
        <v>1425</v>
      </c>
    </row>
    <row r="465" spans="2:25" ht="51" x14ac:dyDescent="0.25">
      <c r="B465" s="1959"/>
      <c r="C465" s="1850"/>
      <c r="D465" s="19"/>
      <c r="E465" s="19"/>
      <c r="F465" s="19"/>
      <c r="G465" s="415" t="s">
        <v>52</v>
      </c>
      <c r="H465" s="415" t="s">
        <v>463</v>
      </c>
      <c r="I465" s="407" t="s">
        <v>1950</v>
      </c>
      <c r="J465" s="408"/>
      <c r="K465" s="409">
        <v>12</v>
      </c>
      <c r="L465" s="409">
        <v>9000</v>
      </c>
      <c r="M465" s="409">
        <v>12</v>
      </c>
      <c r="N465" s="409">
        <v>10000</v>
      </c>
      <c r="O465" s="409">
        <v>12</v>
      </c>
      <c r="P465" s="409">
        <v>11000</v>
      </c>
      <c r="Q465" s="409">
        <v>12</v>
      </c>
      <c r="R465" s="409">
        <v>12000</v>
      </c>
      <c r="S465" s="409">
        <v>12</v>
      </c>
      <c r="T465" s="409">
        <v>13000</v>
      </c>
      <c r="U465" s="409">
        <v>12</v>
      </c>
      <c r="V465" s="409">
        <v>13000</v>
      </c>
      <c r="W465" s="408">
        <v>12</v>
      </c>
      <c r="X465" s="414"/>
      <c r="Y465" s="1111" t="s">
        <v>1425</v>
      </c>
    </row>
    <row r="466" spans="2:25" ht="89.25" x14ac:dyDescent="0.25">
      <c r="B466" s="1959"/>
      <c r="C466" s="1850"/>
      <c r="D466" s="19"/>
      <c r="E466" s="19"/>
      <c r="F466" s="19"/>
      <c r="G466" s="415" t="s">
        <v>54</v>
      </c>
      <c r="H466" s="415" t="s">
        <v>464</v>
      </c>
      <c r="I466" s="407" t="s">
        <v>1950</v>
      </c>
      <c r="J466" s="408"/>
      <c r="K466" s="409">
        <v>12</v>
      </c>
      <c r="L466" s="409">
        <v>3500</v>
      </c>
      <c r="M466" s="409">
        <v>12</v>
      </c>
      <c r="N466" s="409">
        <v>3800</v>
      </c>
      <c r="O466" s="409">
        <v>12</v>
      </c>
      <c r="P466" s="409">
        <v>4100</v>
      </c>
      <c r="Q466" s="409">
        <v>12</v>
      </c>
      <c r="R466" s="409">
        <v>4400</v>
      </c>
      <c r="S466" s="409">
        <v>12</v>
      </c>
      <c r="T466" s="409">
        <v>4700</v>
      </c>
      <c r="U466" s="409">
        <v>12</v>
      </c>
      <c r="V466" s="409">
        <v>4700</v>
      </c>
      <c r="W466" s="408">
        <v>12</v>
      </c>
      <c r="X466" s="414"/>
      <c r="Y466" s="1111" t="s">
        <v>1425</v>
      </c>
    </row>
    <row r="467" spans="2:25" ht="63.75" x14ac:dyDescent="0.25">
      <c r="B467" s="1959"/>
      <c r="C467" s="1850"/>
      <c r="D467" s="19"/>
      <c r="E467" s="19"/>
      <c r="F467" s="19"/>
      <c r="G467" s="415" t="s">
        <v>56</v>
      </c>
      <c r="H467" s="415" t="s">
        <v>57</v>
      </c>
      <c r="I467" s="407" t="s">
        <v>1950</v>
      </c>
      <c r="J467" s="408"/>
      <c r="K467" s="409">
        <v>12</v>
      </c>
      <c r="L467" s="409">
        <v>4000</v>
      </c>
      <c r="M467" s="409">
        <v>12</v>
      </c>
      <c r="N467" s="409">
        <v>4400</v>
      </c>
      <c r="O467" s="409">
        <v>12</v>
      </c>
      <c r="P467" s="409">
        <v>4800</v>
      </c>
      <c r="Q467" s="409">
        <v>12</v>
      </c>
      <c r="R467" s="409">
        <v>5200</v>
      </c>
      <c r="S467" s="409">
        <v>12</v>
      </c>
      <c r="T467" s="409">
        <v>5600</v>
      </c>
      <c r="U467" s="409">
        <v>12</v>
      </c>
      <c r="V467" s="409">
        <v>5600</v>
      </c>
      <c r="W467" s="408">
        <v>12</v>
      </c>
      <c r="X467" s="414"/>
      <c r="Y467" s="1111" t="s">
        <v>1425</v>
      </c>
    </row>
    <row r="468" spans="2:25" ht="38.25" x14ac:dyDescent="0.25">
      <c r="B468" s="1959"/>
      <c r="C468" s="1850"/>
      <c r="D468" s="19"/>
      <c r="E468" s="19"/>
      <c r="F468" s="19"/>
      <c r="G468" s="415" t="s">
        <v>58</v>
      </c>
      <c r="H468" s="415" t="s">
        <v>2737</v>
      </c>
      <c r="I468" s="407" t="s">
        <v>1950</v>
      </c>
      <c r="J468" s="408"/>
      <c r="K468" s="409">
        <v>12</v>
      </c>
      <c r="L468" s="409">
        <v>22000</v>
      </c>
      <c r="M468" s="409">
        <v>12</v>
      </c>
      <c r="N468" s="409">
        <v>24000</v>
      </c>
      <c r="O468" s="409">
        <v>12</v>
      </c>
      <c r="P468" s="409">
        <v>26000</v>
      </c>
      <c r="Q468" s="409">
        <v>12</v>
      </c>
      <c r="R468" s="409">
        <v>28000</v>
      </c>
      <c r="S468" s="409">
        <v>12</v>
      </c>
      <c r="T468" s="409">
        <v>30000</v>
      </c>
      <c r="U468" s="409">
        <v>12</v>
      </c>
      <c r="V468" s="409">
        <v>30000</v>
      </c>
      <c r="W468" s="408">
        <v>12</v>
      </c>
      <c r="X468" s="414"/>
      <c r="Y468" s="1111" t="s">
        <v>1425</v>
      </c>
    </row>
    <row r="469" spans="2:25" ht="63.75" x14ac:dyDescent="0.25">
      <c r="B469" s="1959"/>
      <c r="C469" s="1850"/>
      <c r="D469" s="19"/>
      <c r="E469" s="19"/>
      <c r="F469" s="416"/>
      <c r="G469" s="415" t="s">
        <v>137</v>
      </c>
      <c r="H469" s="406" t="s">
        <v>2738</v>
      </c>
      <c r="I469" s="407" t="s">
        <v>1950</v>
      </c>
      <c r="J469" s="408"/>
      <c r="K469" s="409">
        <v>12</v>
      </c>
      <c r="L469" s="409">
        <v>60000</v>
      </c>
      <c r="M469" s="409">
        <v>12</v>
      </c>
      <c r="N469" s="409">
        <v>66000</v>
      </c>
      <c r="O469" s="409">
        <v>12</v>
      </c>
      <c r="P469" s="409">
        <v>72000</v>
      </c>
      <c r="Q469" s="409">
        <v>12</v>
      </c>
      <c r="R469" s="409">
        <v>79000</v>
      </c>
      <c r="S469" s="409">
        <v>12</v>
      </c>
      <c r="T469" s="409">
        <v>87000</v>
      </c>
      <c r="U469" s="409">
        <v>12</v>
      </c>
      <c r="V469" s="409">
        <v>87000</v>
      </c>
      <c r="W469" s="408">
        <v>12</v>
      </c>
      <c r="X469" s="414"/>
      <c r="Y469" s="1111" t="s">
        <v>1425</v>
      </c>
    </row>
    <row r="470" spans="2:25" ht="63.75" x14ac:dyDescent="0.25">
      <c r="B470" s="1959"/>
      <c r="C470" s="1850"/>
      <c r="D470" s="19"/>
      <c r="E470" s="19"/>
      <c r="F470" s="416"/>
      <c r="G470" s="406" t="s">
        <v>139</v>
      </c>
      <c r="H470" s="406" t="s">
        <v>2739</v>
      </c>
      <c r="I470" s="407" t="s">
        <v>1950</v>
      </c>
      <c r="J470" s="408"/>
      <c r="K470" s="409">
        <v>12</v>
      </c>
      <c r="L470" s="409">
        <v>20000</v>
      </c>
      <c r="M470" s="409">
        <v>12</v>
      </c>
      <c r="N470" s="409">
        <v>22000</v>
      </c>
      <c r="O470" s="409">
        <v>12</v>
      </c>
      <c r="P470" s="409">
        <v>24000</v>
      </c>
      <c r="Q470" s="409">
        <v>12</v>
      </c>
      <c r="R470" s="409">
        <v>26000</v>
      </c>
      <c r="S470" s="409">
        <v>12</v>
      </c>
      <c r="T470" s="409">
        <v>28000</v>
      </c>
      <c r="U470" s="409">
        <v>12</v>
      </c>
      <c r="V470" s="409">
        <v>28000</v>
      </c>
      <c r="W470" s="408">
        <v>12</v>
      </c>
      <c r="X470" s="414"/>
      <c r="Y470" s="1111" t="s">
        <v>1425</v>
      </c>
    </row>
    <row r="471" spans="2:25" ht="48" x14ac:dyDescent="0.25">
      <c r="B471" s="1959"/>
      <c r="C471" s="1850"/>
      <c r="D471" s="19"/>
      <c r="E471" s="19"/>
      <c r="F471" s="417"/>
      <c r="G471" s="411" t="s">
        <v>1496</v>
      </c>
      <c r="H471" s="411" t="s">
        <v>3211</v>
      </c>
      <c r="I471" s="234" t="s">
        <v>19</v>
      </c>
      <c r="J471" s="412">
        <v>100</v>
      </c>
      <c r="K471" s="413">
        <v>20</v>
      </c>
      <c r="L471" s="413">
        <f>SUM(L472:L486)</f>
        <v>106503</v>
      </c>
      <c r="M471" s="413">
        <v>20</v>
      </c>
      <c r="N471" s="413">
        <f>SUM(N472:N486)</f>
        <v>76000</v>
      </c>
      <c r="O471" s="413">
        <v>15</v>
      </c>
      <c r="P471" s="413">
        <f>SUM(P472:P486)</f>
        <v>92750</v>
      </c>
      <c r="Q471" s="413">
        <v>15</v>
      </c>
      <c r="R471" s="413">
        <f>SUM(R472:R486)</f>
        <v>95500</v>
      </c>
      <c r="S471" s="413">
        <v>15</v>
      </c>
      <c r="T471" s="413">
        <f>SUM(T472:T486)</f>
        <v>71500</v>
      </c>
      <c r="U471" s="413">
        <v>15</v>
      </c>
      <c r="V471" s="413">
        <f>SUM(V472:V486)</f>
        <v>71500</v>
      </c>
      <c r="W471" s="412">
        <v>100</v>
      </c>
      <c r="X471" s="404"/>
      <c r="Y471" s="1111" t="s">
        <v>1425</v>
      </c>
    </row>
    <row r="472" spans="2:25" ht="25.5" x14ac:dyDescent="0.25">
      <c r="B472" s="1959"/>
      <c r="C472" s="1850"/>
      <c r="D472" s="19"/>
      <c r="E472" s="19"/>
      <c r="F472" s="416"/>
      <c r="G472" s="10" t="s">
        <v>2740</v>
      </c>
      <c r="H472" s="406" t="s">
        <v>2741</v>
      </c>
      <c r="I472" s="407" t="s">
        <v>75</v>
      </c>
      <c r="J472" s="408"/>
      <c r="K472" s="409">
        <v>2</v>
      </c>
      <c r="L472" s="409">
        <v>12300</v>
      </c>
      <c r="M472" s="409">
        <v>0</v>
      </c>
      <c r="N472" s="409">
        <v>14600</v>
      </c>
      <c r="O472" s="409">
        <v>0</v>
      </c>
      <c r="P472" s="409">
        <v>0</v>
      </c>
      <c r="Q472" s="409">
        <v>0</v>
      </c>
      <c r="R472" s="409">
        <v>0</v>
      </c>
      <c r="S472" s="409">
        <v>0</v>
      </c>
      <c r="T472" s="409">
        <v>0</v>
      </c>
      <c r="U472" s="409">
        <v>0</v>
      </c>
      <c r="V472" s="409">
        <v>0</v>
      </c>
      <c r="W472" s="408">
        <v>2</v>
      </c>
      <c r="X472" s="414"/>
      <c r="Y472" s="1111" t="s">
        <v>1425</v>
      </c>
    </row>
    <row r="473" spans="2:25" x14ac:dyDescent="0.25">
      <c r="B473" s="1959"/>
      <c r="C473" s="1850"/>
      <c r="D473" s="19"/>
      <c r="E473" s="19"/>
      <c r="F473" s="416"/>
      <c r="G473" s="10"/>
      <c r="H473" s="406" t="s">
        <v>2742</v>
      </c>
      <c r="I473" s="407" t="s">
        <v>75</v>
      </c>
      <c r="J473" s="408"/>
      <c r="K473" s="409">
        <v>4</v>
      </c>
      <c r="L473" s="409">
        <v>0</v>
      </c>
      <c r="M473" s="409">
        <v>4</v>
      </c>
      <c r="N473" s="409">
        <v>0</v>
      </c>
      <c r="O473" s="409"/>
      <c r="P473" s="409">
        <v>0</v>
      </c>
      <c r="Q473" s="409"/>
      <c r="R473" s="409">
        <v>0</v>
      </c>
      <c r="S473" s="409"/>
      <c r="T473" s="409">
        <v>0</v>
      </c>
      <c r="U473" s="409"/>
      <c r="V473" s="409">
        <v>0</v>
      </c>
      <c r="W473" s="408">
        <v>8</v>
      </c>
      <c r="X473" s="414"/>
      <c r="Y473" s="1111" t="s">
        <v>1425</v>
      </c>
    </row>
    <row r="474" spans="2:25" ht="25.5" x14ac:dyDescent="0.25">
      <c r="B474" s="1959"/>
      <c r="C474" s="1850"/>
      <c r="D474" s="19"/>
      <c r="E474" s="19"/>
      <c r="F474" s="416"/>
      <c r="G474" s="10" t="s">
        <v>149</v>
      </c>
      <c r="H474" s="406" t="s">
        <v>941</v>
      </c>
      <c r="I474" s="407" t="s">
        <v>75</v>
      </c>
      <c r="J474" s="408"/>
      <c r="K474" s="409">
        <v>2</v>
      </c>
      <c r="L474" s="409">
        <v>45727</v>
      </c>
      <c r="M474" s="409"/>
      <c r="N474" s="409">
        <v>15000</v>
      </c>
      <c r="O474" s="409">
        <v>3</v>
      </c>
      <c r="P474" s="409">
        <v>34500</v>
      </c>
      <c r="Q474" s="409">
        <v>2</v>
      </c>
      <c r="R474" s="409">
        <v>43500</v>
      </c>
      <c r="S474" s="409"/>
      <c r="T474" s="409">
        <v>21500</v>
      </c>
      <c r="U474" s="409"/>
      <c r="V474" s="409">
        <v>21500</v>
      </c>
      <c r="W474" s="408">
        <v>7</v>
      </c>
      <c r="X474" s="414"/>
      <c r="Y474" s="1111" t="s">
        <v>1425</v>
      </c>
    </row>
    <row r="475" spans="2:25" x14ac:dyDescent="0.25">
      <c r="B475" s="1959"/>
      <c r="C475" s="1850"/>
      <c r="D475" s="19"/>
      <c r="E475" s="19"/>
      <c r="F475" s="416"/>
      <c r="G475" s="10"/>
      <c r="H475" s="406" t="s">
        <v>2202</v>
      </c>
      <c r="I475" s="407" t="s">
        <v>75</v>
      </c>
      <c r="J475" s="408"/>
      <c r="K475" s="409">
        <v>6</v>
      </c>
      <c r="L475" s="409">
        <v>0</v>
      </c>
      <c r="M475" s="409">
        <v>4</v>
      </c>
      <c r="N475" s="409">
        <v>0</v>
      </c>
      <c r="O475" s="409"/>
      <c r="P475" s="409">
        <v>0</v>
      </c>
      <c r="Q475" s="409">
        <v>4</v>
      </c>
      <c r="R475" s="409">
        <v>0</v>
      </c>
      <c r="S475" s="409"/>
      <c r="T475" s="409">
        <v>0</v>
      </c>
      <c r="U475" s="409"/>
      <c r="V475" s="409">
        <v>0</v>
      </c>
      <c r="W475" s="408">
        <v>14</v>
      </c>
      <c r="X475" s="414"/>
      <c r="Y475" s="1111" t="s">
        <v>1425</v>
      </c>
    </row>
    <row r="476" spans="2:25" x14ac:dyDescent="0.25">
      <c r="B476" s="1959"/>
      <c r="C476" s="1850"/>
      <c r="D476" s="19"/>
      <c r="E476" s="19"/>
      <c r="F476" s="416"/>
      <c r="G476" s="406"/>
      <c r="H476" s="406" t="s">
        <v>946</v>
      </c>
      <c r="I476" s="407" t="s">
        <v>75</v>
      </c>
      <c r="J476" s="408"/>
      <c r="K476" s="409"/>
      <c r="L476" s="409">
        <v>0</v>
      </c>
      <c r="M476" s="409"/>
      <c r="N476" s="409">
        <v>0</v>
      </c>
      <c r="O476" s="409">
        <v>3</v>
      </c>
      <c r="P476" s="409">
        <v>0</v>
      </c>
      <c r="Q476" s="409"/>
      <c r="R476" s="409">
        <v>0</v>
      </c>
      <c r="S476" s="409"/>
      <c r="T476" s="409">
        <v>0</v>
      </c>
      <c r="U476" s="409"/>
      <c r="V476" s="409">
        <v>0</v>
      </c>
      <c r="W476" s="408"/>
      <c r="X476" s="414"/>
      <c r="Y476" s="1111" t="s">
        <v>1425</v>
      </c>
    </row>
    <row r="477" spans="2:25" x14ac:dyDescent="0.25">
      <c r="B477" s="1959"/>
      <c r="C477" s="1850"/>
      <c r="D477" s="19"/>
      <c r="E477" s="19"/>
      <c r="F477" s="416"/>
      <c r="G477" s="406"/>
      <c r="H477" s="406" t="s">
        <v>943</v>
      </c>
      <c r="I477" s="407" t="s">
        <v>75</v>
      </c>
      <c r="J477" s="408"/>
      <c r="K477" s="409"/>
      <c r="L477" s="409">
        <v>0</v>
      </c>
      <c r="M477" s="409"/>
      <c r="N477" s="409">
        <v>0</v>
      </c>
      <c r="O477" s="409">
        <v>1</v>
      </c>
      <c r="P477" s="409">
        <v>0</v>
      </c>
      <c r="Q477" s="409"/>
      <c r="R477" s="409">
        <v>0</v>
      </c>
      <c r="S477" s="409"/>
      <c r="T477" s="409">
        <v>0</v>
      </c>
      <c r="U477" s="409"/>
      <c r="V477" s="409">
        <v>0</v>
      </c>
      <c r="W477" s="408"/>
      <c r="X477" s="414"/>
      <c r="Y477" s="1111" t="s">
        <v>1425</v>
      </c>
    </row>
    <row r="478" spans="2:25" x14ac:dyDescent="0.25">
      <c r="B478" s="1959"/>
      <c r="C478" s="1850"/>
      <c r="D478" s="19"/>
      <c r="E478" s="19"/>
      <c r="F478" s="416"/>
      <c r="G478" s="406"/>
      <c r="H478" s="406" t="s">
        <v>2743</v>
      </c>
      <c r="I478" s="407" t="s">
        <v>75</v>
      </c>
      <c r="J478" s="408"/>
      <c r="K478" s="409"/>
      <c r="L478" s="409">
        <v>0</v>
      </c>
      <c r="M478" s="409"/>
      <c r="N478" s="409">
        <v>0</v>
      </c>
      <c r="O478" s="409">
        <v>1</v>
      </c>
      <c r="P478" s="409">
        <v>0</v>
      </c>
      <c r="Q478" s="409"/>
      <c r="R478" s="409">
        <v>0</v>
      </c>
      <c r="S478" s="409"/>
      <c r="T478" s="409">
        <v>0</v>
      </c>
      <c r="U478" s="409"/>
      <c r="V478" s="409">
        <v>0</v>
      </c>
      <c r="W478" s="408"/>
      <c r="X478" s="414"/>
      <c r="Y478" s="1111" t="s">
        <v>1425</v>
      </c>
    </row>
    <row r="479" spans="2:25" x14ac:dyDescent="0.25">
      <c r="B479" s="1959"/>
      <c r="C479" s="1850"/>
      <c r="D479" s="19"/>
      <c r="E479" s="19"/>
      <c r="F479" s="416"/>
      <c r="G479" s="406"/>
      <c r="H479" s="406" t="s">
        <v>2744</v>
      </c>
      <c r="I479" s="407" t="s">
        <v>75</v>
      </c>
      <c r="J479" s="408"/>
      <c r="K479" s="409"/>
      <c r="L479" s="409">
        <v>0</v>
      </c>
      <c r="M479" s="409"/>
      <c r="N479" s="409">
        <v>0</v>
      </c>
      <c r="O479" s="409"/>
      <c r="P479" s="409">
        <v>0</v>
      </c>
      <c r="Q479" s="409">
        <v>1</v>
      </c>
      <c r="R479" s="409">
        <v>0</v>
      </c>
      <c r="S479" s="409"/>
      <c r="T479" s="409">
        <v>0</v>
      </c>
      <c r="U479" s="409"/>
      <c r="V479" s="409">
        <v>0</v>
      </c>
      <c r="W479" s="408"/>
      <c r="X479" s="414"/>
      <c r="Y479" s="1111" t="s">
        <v>1425</v>
      </c>
    </row>
    <row r="480" spans="2:25" x14ac:dyDescent="0.25">
      <c r="B480" s="1959"/>
      <c r="C480" s="1850"/>
      <c r="D480" s="19"/>
      <c r="E480" s="19"/>
      <c r="F480" s="416"/>
      <c r="G480" s="406"/>
      <c r="H480" s="406" t="s">
        <v>2745</v>
      </c>
      <c r="I480" s="407" t="s">
        <v>75</v>
      </c>
      <c r="J480" s="408"/>
      <c r="K480" s="409">
        <v>4</v>
      </c>
      <c r="L480" s="409">
        <v>0</v>
      </c>
      <c r="M480" s="409">
        <v>8</v>
      </c>
      <c r="N480" s="409">
        <v>0</v>
      </c>
      <c r="O480" s="409"/>
      <c r="P480" s="409">
        <v>0</v>
      </c>
      <c r="Q480" s="409">
        <v>4</v>
      </c>
      <c r="R480" s="409">
        <v>0</v>
      </c>
      <c r="S480" s="409">
        <v>2</v>
      </c>
      <c r="T480" s="409">
        <v>0</v>
      </c>
      <c r="U480" s="409">
        <v>2</v>
      </c>
      <c r="V480" s="409">
        <v>0</v>
      </c>
      <c r="W480" s="408">
        <v>18</v>
      </c>
      <c r="X480" s="414"/>
      <c r="Y480" s="1111" t="s">
        <v>1425</v>
      </c>
    </row>
    <row r="481" spans="2:25" x14ac:dyDescent="0.25">
      <c r="B481" s="1959"/>
      <c r="C481" s="1850"/>
      <c r="D481" s="19"/>
      <c r="E481" s="19"/>
      <c r="F481" s="416"/>
      <c r="G481" s="406" t="s">
        <v>158</v>
      </c>
      <c r="H481" s="406" t="s">
        <v>2746</v>
      </c>
      <c r="I481" s="407" t="s">
        <v>75</v>
      </c>
      <c r="J481" s="408"/>
      <c r="K481" s="409">
        <v>4</v>
      </c>
      <c r="L481" s="409">
        <v>13860</v>
      </c>
      <c r="M481" s="409"/>
      <c r="N481" s="409">
        <v>8400</v>
      </c>
      <c r="O481" s="409"/>
      <c r="P481" s="409">
        <v>16250</v>
      </c>
      <c r="Q481" s="409"/>
      <c r="R481" s="409">
        <v>6000</v>
      </c>
      <c r="S481" s="409"/>
      <c r="T481" s="409">
        <v>0</v>
      </c>
      <c r="U481" s="409"/>
      <c r="V481" s="409">
        <v>0</v>
      </c>
      <c r="W481" s="408">
        <v>4</v>
      </c>
      <c r="X481" s="414"/>
      <c r="Y481" s="1111" t="s">
        <v>1425</v>
      </c>
    </row>
    <row r="482" spans="2:25" x14ac:dyDescent="0.25">
      <c r="B482" s="1959"/>
      <c r="C482" s="1850"/>
      <c r="D482" s="19"/>
      <c r="E482" s="19"/>
      <c r="F482" s="416"/>
      <c r="G482" s="406"/>
      <c r="H482" s="406" t="s">
        <v>2747</v>
      </c>
      <c r="I482" s="407" t="s">
        <v>75</v>
      </c>
      <c r="J482" s="408"/>
      <c r="K482" s="409">
        <v>4</v>
      </c>
      <c r="L482" s="409">
        <v>0</v>
      </c>
      <c r="M482" s="409"/>
      <c r="N482" s="409">
        <v>0</v>
      </c>
      <c r="O482" s="409"/>
      <c r="P482" s="409">
        <v>0</v>
      </c>
      <c r="Q482" s="409"/>
      <c r="R482" s="409">
        <v>0</v>
      </c>
      <c r="S482" s="409"/>
      <c r="T482" s="409">
        <v>0</v>
      </c>
      <c r="U482" s="409"/>
      <c r="V482" s="409">
        <v>0</v>
      </c>
      <c r="W482" s="408">
        <v>4</v>
      </c>
      <c r="X482" s="414"/>
      <c r="Y482" s="1111" t="s">
        <v>1425</v>
      </c>
    </row>
    <row r="483" spans="2:25" ht="25.5" x14ac:dyDescent="0.25">
      <c r="B483" s="1959"/>
      <c r="C483" s="1850"/>
      <c r="D483" s="19"/>
      <c r="E483" s="19"/>
      <c r="F483" s="416"/>
      <c r="G483" s="406"/>
      <c r="H483" s="406" t="s">
        <v>2748</v>
      </c>
      <c r="I483" s="407" t="s">
        <v>75</v>
      </c>
      <c r="J483" s="408"/>
      <c r="K483" s="409"/>
      <c r="L483" s="409">
        <v>0</v>
      </c>
      <c r="M483" s="409">
        <v>4</v>
      </c>
      <c r="N483" s="409">
        <v>0</v>
      </c>
      <c r="O483" s="409"/>
      <c r="P483" s="409">
        <v>0</v>
      </c>
      <c r="Q483" s="409"/>
      <c r="R483" s="409">
        <v>0</v>
      </c>
      <c r="S483" s="409"/>
      <c r="T483" s="409">
        <v>0</v>
      </c>
      <c r="U483" s="409"/>
      <c r="V483" s="409">
        <v>0</v>
      </c>
      <c r="W483" s="408">
        <v>4</v>
      </c>
      <c r="X483" s="414"/>
      <c r="Y483" s="1111" t="s">
        <v>1425</v>
      </c>
    </row>
    <row r="484" spans="2:25" x14ac:dyDescent="0.25">
      <c r="B484" s="1959"/>
      <c r="C484" s="1850"/>
      <c r="D484" s="19"/>
      <c r="E484" s="19"/>
      <c r="F484" s="416"/>
      <c r="G484" s="406"/>
      <c r="H484" s="406" t="s">
        <v>2749</v>
      </c>
      <c r="I484" s="407" t="s">
        <v>75</v>
      </c>
      <c r="J484" s="408"/>
      <c r="K484" s="409"/>
      <c r="L484" s="409">
        <v>0</v>
      </c>
      <c r="M484" s="409"/>
      <c r="N484" s="409">
        <v>0</v>
      </c>
      <c r="O484" s="409">
        <v>50</v>
      </c>
      <c r="P484" s="409">
        <v>0</v>
      </c>
      <c r="Q484" s="409"/>
      <c r="R484" s="409">
        <v>0</v>
      </c>
      <c r="S484" s="409"/>
      <c r="T484" s="409">
        <v>0</v>
      </c>
      <c r="U484" s="409"/>
      <c r="V484" s="409">
        <v>0</v>
      </c>
      <c r="W484" s="408">
        <v>50</v>
      </c>
      <c r="X484" s="414"/>
      <c r="Y484" s="1111" t="s">
        <v>1425</v>
      </c>
    </row>
    <row r="485" spans="2:25" x14ac:dyDescent="0.25">
      <c r="B485" s="1959"/>
      <c r="C485" s="1850"/>
      <c r="D485" s="19"/>
      <c r="E485" s="19"/>
      <c r="F485" s="416"/>
      <c r="G485" s="406"/>
      <c r="H485" s="406" t="s">
        <v>2750</v>
      </c>
      <c r="I485" s="407" t="s">
        <v>75</v>
      </c>
      <c r="J485" s="408"/>
      <c r="K485" s="409"/>
      <c r="L485" s="409">
        <v>0</v>
      </c>
      <c r="M485" s="409"/>
      <c r="N485" s="409">
        <v>0</v>
      </c>
      <c r="O485" s="409"/>
      <c r="P485" s="409">
        <v>0</v>
      </c>
      <c r="Q485" s="409">
        <v>8</v>
      </c>
      <c r="R485" s="409">
        <v>0</v>
      </c>
      <c r="S485" s="409"/>
      <c r="T485" s="409">
        <v>0</v>
      </c>
      <c r="U485" s="409"/>
      <c r="V485" s="409">
        <v>0</v>
      </c>
      <c r="W485" s="408">
        <v>8</v>
      </c>
      <c r="X485" s="414"/>
      <c r="Y485" s="1111" t="s">
        <v>1425</v>
      </c>
    </row>
    <row r="486" spans="2:25" ht="25.5" x14ac:dyDescent="0.25">
      <c r="B486" s="1959"/>
      <c r="C486" s="1850"/>
      <c r="D486" s="19"/>
      <c r="E486" s="19"/>
      <c r="F486" s="416"/>
      <c r="G486" s="406" t="s">
        <v>2751</v>
      </c>
      <c r="H486" s="406" t="s">
        <v>2752</v>
      </c>
      <c r="I486" s="407" t="s">
        <v>40</v>
      </c>
      <c r="J486" s="408"/>
      <c r="K486" s="409">
        <v>12</v>
      </c>
      <c r="L486" s="409">
        <v>34616</v>
      </c>
      <c r="M486" s="409">
        <v>12</v>
      </c>
      <c r="N486" s="409">
        <v>38000</v>
      </c>
      <c r="O486" s="409">
        <v>12</v>
      </c>
      <c r="P486" s="409">
        <v>42000</v>
      </c>
      <c r="Q486" s="409">
        <v>12</v>
      </c>
      <c r="R486" s="409">
        <v>46000</v>
      </c>
      <c r="S486" s="409">
        <v>12</v>
      </c>
      <c r="T486" s="409">
        <v>50000</v>
      </c>
      <c r="U486" s="409">
        <v>12</v>
      </c>
      <c r="V486" s="409">
        <v>50000</v>
      </c>
      <c r="W486" s="408">
        <v>60</v>
      </c>
      <c r="X486" s="414"/>
      <c r="Y486" s="1111" t="s">
        <v>1425</v>
      </c>
    </row>
    <row r="487" spans="2:25" ht="108" x14ac:dyDescent="0.25">
      <c r="B487" s="1959"/>
      <c r="C487" s="1850"/>
      <c r="D487" s="19"/>
      <c r="E487" s="19"/>
      <c r="F487" s="18"/>
      <c r="G487" s="411" t="s">
        <v>1505</v>
      </c>
      <c r="H487" s="411" t="s">
        <v>3145</v>
      </c>
      <c r="I487" s="234" t="s">
        <v>79</v>
      </c>
      <c r="J487" s="412">
        <v>25</v>
      </c>
      <c r="K487" s="413">
        <v>7</v>
      </c>
      <c r="L487" s="413">
        <f>SUM(L488)</f>
        <v>30000</v>
      </c>
      <c r="M487" s="413">
        <v>8</v>
      </c>
      <c r="N487" s="413">
        <f>SUM(N488)</f>
        <v>75000</v>
      </c>
      <c r="O487" s="413">
        <v>8</v>
      </c>
      <c r="P487" s="413">
        <f>SUM(P488)</f>
        <v>77000</v>
      </c>
      <c r="Q487" s="413">
        <v>8</v>
      </c>
      <c r="R487" s="413">
        <f>SUM(R488)</f>
        <v>79000</v>
      </c>
      <c r="S487" s="413">
        <v>8</v>
      </c>
      <c r="T487" s="413">
        <f>SUM(T488)</f>
        <v>81000</v>
      </c>
      <c r="U487" s="413">
        <v>8</v>
      </c>
      <c r="V487" s="413">
        <f>SUM(V488)</f>
        <v>81000</v>
      </c>
      <c r="W487" s="656">
        <f>U487+S487+Q487+O487+M487+K487</f>
        <v>47</v>
      </c>
      <c r="X487" s="404"/>
      <c r="Y487" s="1111" t="s">
        <v>1425</v>
      </c>
    </row>
    <row r="488" spans="2:25" ht="76.5" x14ac:dyDescent="0.25">
      <c r="B488" s="1959"/>
      <c r="C488" s="1850"/>
      <c r="D488" s="19"/>
      <c r="E488" s="19"/>
      <c r="F488" s="416"/>
      <c r="G488" s="406" t="s">
        <v>80</v>
      </c>
      <c r="H488" s="406" t="s">
        <v>2753</v>
      </c>
      <c r="I488" s="407" t="s">
        <v>79</v>
      </c>
      <c r="J488" s="408"/>
      <c r="K488" s="409">
        <v>7</v>
      </c>
      <c r="L488" s="409">
        <v>30000</v>
      </c>
      <c r="M488" s="409">
        <v>8</v>
      </c>
      <c r="N488" s="409">
        <v>75000</v>
      </c>
      <c r="O488" s="409">
        <v>8</v>
      </c>
      <c r="P488" s="409">
        <v>77000</v>
      </c>
      <c r="Q488" s="409">
        <v>8</v>
      </c>
      <c r="R488" s="409">
        <v>79000</v>
      </c>
      <c r="S488" s="409">
        <v>8</v>
      </c>
      <c r="T488" s="409">
        <v>81000</v>
      </c>
      <c r="U488" s="409">
        <v>8</v>
      </c>
      <c r="V488" s="409">
        <v>81000</v>
      </c>
      <c r="W488" s="408"/>
      <c r="X488" s="414"/>
      <c r="Y488" s="1111" t="s">
        <v>1425</v>
      </c>
    </row>
    <row r="489" spans="2:25" ht="60" x14ac:dyDescent="0.25">
      <c r="B489" s="1959"/>
      <c r="C489" s="1850"/>
      <c r="D489" s="19"/>
      <c r="E489" s="19"/>
      <c r="F489" s="18"/>
      <c r="G489" s="411" t="s">
        <v>1514</v>
      </c>
      <c r="H489" s="411" t="s">
        <v>3111</v>
      </c>
      <c r="I489" s="234" t="s">
        <v>79</v>
      </c>
      <c r="J489" s="412">
        <v>0</v>
      </c>
      <c r="K489" s="413">
        <v>1</v>
      </c>
      <c r="L489" s="413">
        <f>SUM(L490)</f>
        <v>20000</v>
      </c>
      <c r="M489" s="413">
        <v>1</v>
      </c>
      <c r="N489" s="413">
        <f>SUM(N490)</f>
        <v>30000</v>
      </c>
      <c r="O489" s="413">
        <v>1</v>
      </c>
      <c r="P489" s="413">
        <f>SUM(P490)</f>
        <v>35000</v>
      </c>
      <c r="Q489" s="413">
        <v>1</v>
      </c>
      <c r="R489" s="413">
        <f>SUM(R490)</f>
        <v>40000</v>
      </c>
      <c r="S489" s="413">
        <v>1</v>
      </c>
      <c r="T489" s="413">
        <f>SUM(T490)</f>
        <v>45000</v>
      </c>
      <c r="U489" s="413">
        <v>1</v>
      </c>
      <c r="V489" s="413">
        <f>SUM(V490)</f>
        <v>45000</v>
      </c>
      <c r="W489" s="412">
        <v>6</v>
      </c>
      <c r="X489" s="404"/>
      <c r="Y489" s="1111" t="s">
        <v>1425</v>
      </c>
    </row>
    <row r="490" spans="2:25" ht="63.75" x14ac:dyDescent="0.25">
      <c r="B490" s="1960"/>
      <c r="C490" s="1851"/>
      <c r="D490" s="1847"/>
      <c r="E490" s="1847"/>
      <c r="F490" s="19"/>
      <c r="G490" s="406" t="s">
        <v>169</v>
      </c>
      <c r="H490" s="406" t="s">
        <v>2754</v>
      </c>
      <c r="I490" s="407" t="s">
        <v>79</v>
      </c>
      <c r="J490" s="408"/>
      <c r="K490" s="409">
        <v>1</v>
      </c>
      <c r="L490" s="409">
        <v>20000</v>
      </c>
      <c r="M490" s="409">
        <v>1</v>
      </c>
      <c r="N490" s="409">
        <v>30000</v>
      </c>
      <c r="O490" s="409">
        <v>1</v>
      </c>
      <c r="P490" s="409">
        <v>35000</v>
      </c>
      <c r="Q490" s="409">
        <v>1</v>
      </c>
      <c r="R490" s="409">
        <v>40000</v>
      </c>
      <c r="S490" s="409">
        <v>1</v>
      </c>
      <c r="T490" s="409">
        <v>45000</v>
      </c>
      <c r="U490" s="409">
        <v>1</v>
      </c>
      <c r="V490" s="409">
        <v>45000</v>
      </c>
      <c r="W490" s="408"/>
      <c r="X490" s="414"/>
      <c r="Y490" s="1111" t="s">
        <v>1425</v>
      </c>
    </row>
    <row r="491" spans="2:25" ht="13.5" thickBot="1" x14ac:dyDescent="0.3">
      <c r="B491" s="418"/>
      <c r="C491" s="1961" t="s">
        <v>1354</v>
      </c>
      <c r="D491" s="1962"/>
      <c r="E491" s="1962"/>
      <c r="F491" s="1962"/>
      <c r="G491" s="20"/>
      <c r="H491" s="420"/>
      <c r="I491" s="419"/>
      <c r="J491" s="421"/>
      <c r="K491" s="421"/>
      <c r="L491" s="658">
        <f>SUM(L386:L490)/2</f>
        <v>6234893</v>
      </c>
      <c r="M491" s="421"/>
      <c r="N491" s="658">
        <f>SUM(N386:N490)/2</f>
        <v>3611600</v>
      </c>
      <c r="O491" s="421"/>
      <c r="P491" s="658">
        <f>SUM(P386:P490)/2</f>
        <v>5005850</v>
      </c>
      <c r="Q491" s="421"/>
      <c r="R491" s="658">
        <f>SUM(R386:R490)/2</f>
        <v>5368700</v>
      </c>
      <c r="S491" s="421"/>
      <c r="T491" s="658">
        <f>SUM(T386:T490)/2</f>
        <v>5787800</v>
      </c>
      <c r="U491" s="421"/>
      <c r="V491" s="658">
        <f>SUM(V386:V490)/2</f>
        <v>6202800</v>
      </c>
      <c r="W491" s="421"/>
      <c r="X491" s="422"/>
      <c r="Y491" s="422"/>
    </row>
    <row r="492" spans="2:25" ht="13.5" thickTop="1" x14ac:dyDescent="0.25">
      <c r="L492" s="657"/>
    </row>
    <row r="493" spans="2:25" ht="13.5" thickBot="1" x14ac:dyDescent="0.3">
      <c r="B493" s="246" t="s">
        <v>1374</v>
      </c>
    </row>
    <row r="494" spans="2:25" s="219" customFormat="1" thickTop="1" x14ac:dyDescent="0.2">
      <c r="B494" s="1932" t="s">
        <v>1</v>
      </c>
      <c r="C494" s="1934" t="s">
        <v>2</v>
      </c>
      <c r="D494" s="1934" t="s">
        <v>3</v>
      </c>
      <c r="E494" s="1934" t="s">
        <v>4</v>
      </c>
      <c r="F494" s="1934" t="s">
        <v>5</v>
      </c>
      <c r="G494" s="1934" t="s">
        <v>6</v>
      </c>
      <c r="H494" s="1934" t="s">
        <v>1854</v>
      </c>
      <c r="I494" s="1934" t="s">
        <v>31</v>
      </c>
      <c r="J494" s="1936" t="s">
        <v>1855</v>
      </c>
      <c r="K494" s="1934" t="s">
        <v>7</v>
      </c>
      <c r="L494" s="1934"/>
      <c r="M494" s="1934"/>
      <c r="N494" s="1934"/>
      <c r="O494" s="1934"/>
      <c r="P494" s="1934"/>
      <c r="Q494" s="1934"/>
      <c r="R494" s="1934"/>
      <c r="S494" s="1934"/>
      <c r="T494" s="1934"/>
      <c r="U494" s="1934"/>
      <c r="V494" s="1934"/>
      <c r="W494" s="1934"/>
      <c r="X494" s="1934" t="s">
        <v>8</v>
      </c>
      <c r="Y494" s="1938" t="s">
        <v>1856</v>
      </c>
    </row>
    <row r="495" spans="2:25" s="219" customFormat="1" ht="12" x14ac:dyDescent="0.2">
      <c r="B495" s="1933"/>
      <c r="C495" s="1935"/>
      <c r="D495" s="1935"/>
      <c r="E495" s="1935"/>
      <c r="F495" s="1935"/>
      <c r="G495" s="1935"/>
      <c r="H495" s="1935"/>
      <c r="I495" s="1935"/>
      <c r="J495" s="1937"/>
      <c r="K495" s="1935">
        <v>2016</v>
      </c>
      <c r="L495" s="1935"/>
      <c r="M495" s="1935">
        <v>2017</v>
      </c>
      <c r="N495" s="1935"/>
      <c r="O495" s="1935">
        <v>2018</v>
      </c>
      <c r="P495" s="1935"/>
      <c r="Q495" s="1935">
        <v>2019</v>
      </c>
      <c r="R495" s="1935"/>
      <c r="S495" s="1935">
        <v>2020</v>
      </c>
      <c r="T495" s="1935"/>
      <c r="U495" s="1935">
        <v>2021</v>
      </c>
      <c r="V495" s="1935"/>
      <c r="W495" s="1940" t="s">
        <v>1857</v>
      </c>
      <c r="X495" s="1935"/>
      <c r="Y495" s="1939"/>
    </row>
    <row r="496" spans="2:25" s="219" customFormat="1" ht="12" x14ac:dyDescent="0.2">
      <c r="B496" s="1933"/>
      <c r="C496" s="1935"/>
      <c r="D496" s="1935"/>
      <c r="E496" s="1935"/>
      <c r="F496" s="1935"/>
      <c r="G496" s="1935"/>
      <c r="H496" s="1935"/>
      <c r="I496" s="1935"/>
      <c r="J496" s="1937"/>
      <c r="K496" s="707" t="s">
        <v>1858</v>
      </c>
      <c r="L496" s="1889" t="s">
        <v>1355</v>
      </c>
      <c r="M496" s="844" t="s">
        <v>1858</v>
      </c>
      <c r="N496" s="1889" t="s">
        <v>1355</v>
      </c>
      <c r="O496" s="844" t="s">
        <v>1858</v>
      </c>
      <c r="P496" s="1889" t="s">
        <v>1355</v>
      </c>
      <c r="Q496" s="844" t="s">
        <v>1858</v>
      </c>
      <c r="R496" s="1889" t="s">
        <v>1355</v>
      </c>
      <c r="S496" s="844" t="s">
        <v>1858</v>
      </c>
      <c r="T496" s="1889" t="s">
        <v>1355</v>
      </c>
      <c r="U496" s="844" t="s">
        <v>1858</v>
      </c>
      <c r="V496" s="1889" t="s">
        <v>1355</v>
      </c>
      <c r="W496" s="1940"/>
      <c r="X496" s="1935"/>
      <c r="Y496" s="1939"/>
    </row>
    <row r="497" spans="2:25" ht="78" customHeight="1" x14ac:dyDescent="0.25">
      <c r="B497" s="1943" t="s">
        <v>1688</v>
      </c>
      <c r="C497" s="123" t="s">
        <v>4089</v>
      </c>
      <c r="D497" s="123" t="s">
        <v>4080</v>
      </c>
      <c r="E497" s="123" t="s">
        <v>4081</v>
      </c>
      <c r="F497" s="125" t="s">
        <v>1805</v>
      </c>
      <c r="G497" s="976" t="s">
        <v>4082</v>
      </c>
      <c r="H497" s="655"/>
      <c r="I497" s="135" t="s">
        <v>100</v>
      </c>
      <c r="J497" s="1835">
        <v>1117136</v>
      </c>
      <c r="K497" s="1835">
        <v>1304814.848</v>
      </c>
      <c r="L497" s="655"/>
      <c r="M497" s="1835">
        <v>1526763.8536448001</v>
      </c>
      <c r="N497" s="655"/>
      <c r="O497" s="1835">
        <v>1793336.8224911825</v>
      </c>
      <c r="P497" s="1855"/>
      <c r="Q497" s="1835">
        <v>2114344.1137171043</v>
      </c>
      <c r="R497" s="647"/>
      <c r="S497" s="1835">
        <v>2511840.8070959197</v>
      </c>
      <c r="T497" s="647"/>
      <c r="U497" s="1835">
        <v>3006422.2620131066</v>
      </c>
      <c r="V497" s="647"/>
      <c r="W497" s="1835">
        <v>3006422.2620131066</v>
      </c>
      <c r="X497" s="660"/>
      <c r="Y497" s="661" t="s">
        <v>1374</v>
      </c>
    </row>
    <row r="498" spans="2:25" ht="60" customHeight="1" x14ac:dyDescent="0.25">
      <c r="B498" s="1944"/>
      <c r="C498" s="79"/>
      <c r="D498" s="79"/>
      <c r="E498" s="79"/>
      <c r="F498" s="123" t="s">
        <v>4084</v>
      </c>
      <c r="G498" s="976" t="s">
        <v>4083</v>
      </c>
      <c r="H498" s="655"/>
      <c r="I498" s="189" t="s">
        <v>4085</v>
      </c>
      <c r="J498" s="982">
        <v>0.1</v>
      </c>
      <c r="K498" s="982">
        <v>0.2</v>
      </c>
      <c r="L498" s="655"/>
      <c r="M498" s="982">
        <v>0.3</v>
      </c>
      <c r="N498" s="655"/>
      <c r="O498" s="982">
        <v>0.4</v>
      </c>
      <c r="P498" s="1855"/>
      <c r="Q498" s="982">
        <v>0.5</v>
      </c>
      <c r="R498" s="1854"/>
      <c r="S498" s="982">
        <v>0.6</v>
      </c>
      <c r="T498" s="1854"/>
      <c r="U498" s="982">
        <v>0.7</v>
      </c>
      <c r="V498" s="1854"/>
      <c r="W498" s="982">
        <v>0.7</v>
      </c>
      <c r="X498" s="660"/>
      <c r="Y498" s="661"/>
    </row>
    <row r="499" spans="2:25" ht="36" x14ac:dyDescent="0.25">
      <c r="B499" s="1944"/>
      <c r="C499" s="109"/>
      <c r="D499" s="109"/>
      <c r="E499" s="109"/>
      <c r="F499" s="123"/>
      <c r="G499" s="423" t="s">
        <v>1375</v>
      </c>
      <c r="H499" s="125" t="s">
        <v>1805</v>
      </c>
      <c r="I499" s="135" t="s">
        <v>100</v>
      </c>
      <c r="J499" s="662">
        <v>1117136</v>
      </c>
      <c r="K499" s="663">
        <v>1304500</v>
      </c>
      <c r="L499" s="664">
        <f>SUM(L500:L532)</f>
        <v>2047000</v>
      </c>
      <c r="M499" s="663">
        <v>1305500</v>
      </c>
      <c r="N499" s="664">
        <f>SUM(N500:N532)</f>
        <v>2430000</v>
      </c>
      <c r="O499" s="663">
        <v>1306000</v>
      </c>
      <c r="P499" s="664">
        <f>SUM(P500:P532)</f>
        <v>2523000</v>
      </c>
      <c r="Q499" s="663">
        <v>1308000</v>
      </c>
      <c r="R499" s="664">
        <f>SUM(R500:R532)</f>
        <v>2625300</v>
      </c>
      <c r="S499" s="663">
        <v>1309000</v>
      </c>
      <c r="T499" s="664">
        <f>SUM(T500:T532)</f>
        <v>2737830</v>
      </c>
      <c r="U499" s="663">
        <v>1310000</v>
      </c>
      <c r="V499" s="664">
        <f>SUM(V500:V532)</f>
        <v>2861613</v>
      </c>
      <c r="W499" s="663">
        <f>U499</f>
        <v>1310000</v>
      </c>
      <c r="X499" s="108"/>
      <c r="Y499" s="661" t="s">
        <v>1374</v>
      </c>
    </row>
    <row r="500" spans="2:25" ht="102" x14ac:dyDescent="0.25">
      <c r="B500" s="1944"/>
      <c r="C500" s="109"/>
      <c r="D500" s="109"/>
      <c r="E500" s="109"/>
      <c r="F500" s="79"/>
      <c r="G500" s="76" t="s">
        <v>2755</v>
      </c>
      <c r="H500" s="80" t="s">
        <v>2756</v>
      </c>
      <c r="I500" s="81" t="s">
        <v>275</v>
      </c>
      <c r="J500" s="93">
        <v>4</v>
      </c>
      <c r="K500" s="82">
        <v>3</v>
      </c>
      <c r="L500" s="83">
        <v>400000</v>
      </c>
      <c r="M500" s="84">
        <v>12</v>
      </c>
      <c r="N500" s="83">
        <v>590000</v>
      </c>
      <c r="O500" s="84">
        <v>10</v>
      </c>
      <c r="P500" s="85">
        <v>649000</v>
      </c>
      <c r="Q500" s="84">
        <v>11</v>
      </c>
      <c r="R500" s="85">
        <v>713900</v>
      </c>
      <c r="S500" s="84">
        <v>11</v>
      </c>
      <c r="T500" s="85">
        <v>785290</v>
      </c>
      <c r="U500" s="84">
        <v>11</v>
      </c>
      <c r="V500" s="85">
        <v>863819</v>
      </c>
      <c r="W500" s="86">
        <v>58</v>
      </c>
      <c r="X500" s="87"/>
      <c r="Y500" s="661" t="s">
        <v>1374</v>
      </c>
    </row>
    <row r="501" spans="2:25" x14ac:dyDescent="0.25">
      <c r="B501" s="1944"/>
      <c r="C501" s="109"/>
      <c r="D501" s="109"/>
      <c r="E501" s="109"/>
      <c r="F501" s="79"/>
      <c r="G501" s="78"/>
      <c r="H501" s="80" t="s">
        <v>2757</v>
      </c>
      <c r="I501" s="81" t="s">
        <v>103</v>
      </c>
      <c r="J501" s="93"/>
      <c r="K501" s="82">
        <v>1</v>
      </c>
      <c r="L501" s="88"/>
      <c r="M501" s="84">
        <v>2</v>
      </c>
      <c r="N501" s="88"/>
      <c r="O501" s="84">
        <v>2</v>
      </c>
      <c r="P501" s="88"/>
      <c r="Q501" s="84">
        <v>2</v>
      </c>
      <c r="R501" s="88"/>
      <c r="S501" s="84">
        <v>2</v>
      </c>
      <c r="T501" s="88"/>
      <c r="U501" s="84">
        <v>2</v>
      </c>
      <c r="V501" s="88"/>
      <c r="W501" s="86">
        <v>11</v>
      </c>
      <c r="X501" s="89"/>
      <c r="Y501" s="661" t="s">
        <v>1374</v>
      </c>
    </row>
    <row r="502" spans="2:25" x14ac:dyDescent="0.25">
      <c r="B502" s="1944"/>
      <c r="C502" s="109"/>
      <c r="D502" s="109"/>
      <c r="E502" s="109"/>
      <c r="F502" s="79"/>
      <c r="G502" s="78"/>
      <c r="H502" s="80" t="s">
        <v>2758</v>
      </c>
      <c r="I502" s="81" t="s">
        <v>2603</v>
      </c>
      <c r="J502" s="93"/>
      <c r="K502" s="82">
        <v>5000</v>
      </c>
      <c r="L502" s="88"/>
      <c r="M502" s="84">
        <v>6000</v>
      </c>
      <c r="N502" s="88"/>
      <c r="O502" s="84">
        <v>7500</v>
      </c>
      <c r="P502" s="88"/>
      <c r="Q502" s="84">
        <v>8500</v>
      </c>
      <c r="R502" s="88"/>
      <c r="S502" s="84">
        <v>9500</v>
      </c>
      <c r="T502" s="88"/>
      <c r="U502" s="84">
        <v>10000</v>
      </c>
      <c r="V502" s="88"/>
      <c r="W502" s="86">
        <v>46500</v>
      </c>
      <c r="X502" s="89"/>
      <c r="Y502" s="661" t="s">
        <v>1374</v>
      </c>
    </row>
    <row r="503" spans="2:25" x14ac:dyDescent="0.25">
      <c r="B503" s="1944"/>
      <c r="C503" s="109"/>
      <c r="D503" s="109"/>
      <c r="E503" s="109"/>
      <c r="F503" s="79"/>
      <c r="G503" s="78"/>
      <c r="H503" s="80" t="s">
        <v>2759</v>
      </c>
      <c r="I503" s="81" t="s">
        <v>103</v>
      </c>
      <c r="J503" s="93"/>
      <c r="K503" s="82">
        <v>1</v>
      </c>
      <c r="L503" s="88"/>
      <c r="M503" s="84">
        <v>1</v>
      </c>
      <c r="N503" s="88"/>
      <c r="O503" s="84">
        <v>1</v>
      </c>
      <c r="P503" s="88"/>
      <c r="Q503" s="84">
        <v>1</v>
      </c>
      <c r="R503" s="88"/>
      <c r="S503" s="84">
        <v>1</v>
      </c>
      <c r="T503" s="88"/>
      <c r="U503" s="84">
        <v>1</v>
      </c>
      <c r="V503" s="88"/>
      <c r="W503" s="86">
        <v>6</v>
      </c>
      <c r="X503" s="89"/>
      <c r="Y503" s="661" t="s">
        <v>1374</v>
      </c>
    </row>
    <row r="504" spans="2:25" x14ac:dyDescent="0.25">
      <c r="B504" s="1944"/>
      <c r="C504" s="109"/>
      <c r="D504" s="109"/>
      <c r="E504" s="109"/>
      <c r="F504" s="79"/>
      <c r="G504" s="78"/>
      <c r="H504" s="80" t="s">
        <v>2760</v>
      </c>
      <c r="I504" s="81" t="s">
        <v>103</v>
      </c>
      <c r="J504" s="93"/>
      <c r="K504" s="90">
        <v>0</v>
      </c>
      <c r="L504" s="88"/>
      <c r="M504" s="84">
        <v>1</v>
      </c>
      <c r="N504" s="88"/>
      <c r="O504" s="84">
        <v>1</v>
      </c>
      <c r="P504" s="88"/>
      <c r="Q504" s="84">
        <v>1</v>
      </c>
      <c r="R504" s="88"/>
      <c r="S504" s="84">
        <v>1</v>
      </c>
      <c r="T504" s="88"/>
      <c r="U504" s="84">
        <v>1</v>
      </c>
      <c r="V504" s="88"/>
      <c r="W504" s="86">
        <v>5</v>
      </c>
      <c r="X504" s="89"/>
      <c r="Y504" s="661" t="s">
        <v>1374</v>
      </c>
    </row>
    <row r="505" spans="2:25" ht="51" x14ac:dyDescent="0.25">
      <c r="B505" s="1944"/>
      <c r="C505" s="109"/>
      <c r="D505" s="109"/>
      <c r="E505" s="109"/>
      <c r="F505" s="79"/>
      <c r="G505" s="78"/>
      <c r="H505" s="80" t="s">
        <v>2761</v>
      </c>
      <c r="I505" s="81" t="s">
        <v>103</v>
      </c>
      <c r="J505" s="93"/>
      <c r="K505" s="90">
        <v>0</v>
      </c>
      <c r="L505" s="88"/>
      <c r="M505" s="84">
        <v>1</v>
      </c>
      <c r="N505" s="88"/>
      <c r="O505" s="84">
        <v>1</v>
      </c>
      <c r="P505" s="88"/>
      <c r="Q505" s="84">
        <v>1</v>
      </c>
      <c r="R505" s="88"/>
      <c r="S505" s="84">
        <v>1</v>
      </c>
      <c r="T505" s="88"/>
      <c r="U505" s="84">
        <v>1</v>
      </c>
      <c r="V505" s="88"/>
      <c r="W505" s="86">
        <v>5</v>
      </c>
      <c r="X505" s="89"/>
      <c r="Y505" s="661" t="s">
        <v>1374</v>
      </c>
    </row>
    <row r="506" spans="2:25" ht="38.25" x14ac:dyDescent="0.25">
      <c r="B506" s="1944"/>
      <c r="C506" s="109"/>
      <c r="D506" s="109"/>
      <c r="E506" s="109"/>
      <c r="F506" s="79"/>
      <c r="G506" s="78"/>
      <c r="H506" s="80" t="s">
        <v>2762</v>
      </c>
      <c r="I506" s="81" t="s">
        <v>2763</v>
      </c>
      <c r="J506" s="93"/>
      <c r="K506" s="90">
        <v>0</v>
      </c>
      <c r="L506" s="88"/>
      <c r="M506" s="84">
        <v>50</v>
      </c>
      <c r="N506" s="88"/>
      <c r="O506" s="84">
        <v>0</v>
      </c>
      <c r="P506" s="88"/>
      <c r="Q506" s="84">
        <v>0</v>
      </c>
      <c r="R506" s="88"/>
      <c r="S506" s="84">
        <v>0</v>
      </c>
      <c r="T506" s="88"/>
      <c r="U506" s="84">
        <v>0</v>
      </c>
      <c r="V506" s="88"/>
      <c r="W506" s="86">
        <v>50</v>
      </c>
      <c r="X506" s="89"/>
      <c r="Y506" s="661" t="s">
        <v>1374</v>
      </c>
    </row>
    <row r="507" spans="2:25" ht="38.25" x14ac:dyDescent="0.25">
      <c r="B507" s="1944"/>
      <c r="C507" s="109"/>
      <c r="D507" s="109"/>
      <c r="E507" s="109"/>
      <c r="F507" s="79"/>
      <c r="G507" s="78"/>
      <c r="H507" s="80" t="s">
        <v>2764</v>
      </c>
      <c r="I507" s="81" t="s">
        <v>103</v>
      </c>
      <c r="J507" s="93"/>
      <c r="K507" s="90">
        <v>0</v>
      </c>
      <c r="L507" s="88"/>
      <c r="M507" s="84">
        <v>1</v>
      </c>
      <c r="N507" s="88"/>
      <c r="O507" s="84">
        <v>1</v>
      </c>
      <c r="P507" s="88"/>
      <c r="Q507" s="84">
        <v>1</v>
      </c>
      <c r="R507" s="88"/>
      <c r="S507" s="84">
        <v>1</v>
      </c>
      <c r="T507" s="88"/>
      <c r="U507" s="84">
        <v>1</v>
      </c>
      <c r="V507" s="88"/>
      <c r="W507" s="86">
        <v>5</v>
      </c>
      <c r="X507" s="89"/>
      <c r="Y507" s="661" t="s">
        <v>1374</v>
      </c>
    </row>
    <row r="508" spans="2:25" x14ac:dyDescent="0.25">
      <c r="B508" s="1944"/>
      <c r="C508" s="109"/>
      <c r="D508" s="109"/>
      <c r="E508" s="109"/>
      <c r="F508" s="79"/>
      <c r="G508" s="78"/>
      <c r="H508" s="80" t="s">
        <v>2765</v>
      </c>
      <c r="I508" s="81" t="s">
        <v>103</v>
      </c>
      <c r="J508" s="93"/>
      <c r="K508" s="90">
        <v>0</v>
      </c>
      <c r="L508" s="88"/>
      <c r="M508" s="84">
        <v>1</v>
      </c>
      <c r="N508" s="88"/>
      <c r="O508" s="84">
        <v>0</v>
      </c>
      <c r="P508" s="88"/>
      <c r="Q508" s="84">
        <v>1</v>
      </c>
      <c r="R508" s="88"/>
      <c r="S508" s="84">
        <v>1</v>
      </c>
      <c r="T508" s="88"/>
      <c r="U508" s="84">
        <v>1</v>
      </c>
      <c r="V508" s="88"/>
      <c r="W508" s="86">
        <v>4</v>
      </c>
      <c r="X508" s="89"/>
      <c r="Y508" s="661" t="s">
        <v>1374</v>
      </c>
    </row>
    <row r="509" spans="2:25" ht="25.5" x14ac:dyDescent="0.25">
      <c r="B509" s="1944"/>
      <c r="C509" s="109"/>
      <c r="D509" s="109"/>
      <c r="E509" s="109"/>
      <c r="F509" s="79"/>
      <c r="G509" s="78"/>
      <c r="H509" s="80" t="s">
        <v>2766</v>
      </c>
      <c r="I509" s="81" t="s">
        <v>103</v>
      </c>
      <c r="J509" s="93"/>
      <c r="K509" s="90">
        <v>1</v>
      </c>
      <c r="L509" s="88"/>
      <c r="M509" s="84">
        <v>1</v>
      </c>
      <c r="N509" s="88"/>
      <c r="O509" s="84">
        <v>1</v>
      </c>
      <c r="P509" s="88"/>
      <c r="Q509" s="84">
        <v>1</v>
      </c>
      <c r="R509" s="88"/>
      <c r="S509" s="84">
        <v>1</v>
      </c>
      <c r="T509" s="88"/>
      <c r="U509" s="84">
        <v>1</v>
      </c>
      <c r="V509" s="88"/>
      <c r="W509" s="86">
        <v>6</v>
      </c>
      <c r="X509" s="89"/>
      <c r="Y509" s="661" t="s">
        <v>1374</v>
      </c>
    </row>
    <row r="510" spans="2:25" ht="25.5" x14ac:dyDescent="0.25">
      <c r="B510" s="1944"/>
      <c r="C510" s="109"/>
      <c r="D510" s="109"/>
      <c r="E510" s="109"/>
      <c r="F510" s="79"/>
      <c r="G510" s="78"/>
      <c r="H510" s="80" t="s">
        <v>2767</v>
      </c>
      <c r="I510" s="81" t="s">
        <v>103</v>
      </c>
      <c r="J510" s="93"/>
      <c r="K510" s="90">
        <v>1</v>
      </c>
      <c r="L510" s="88"/>
      <c r="M510" s="84">
        <v>1</v>
      </c>
      <c r="N510" s="88"/>
      <c r="O510" s="84">
        <v>1</v>
      </c>
      <c r="P510" s="88"/>
      <c r="Q510" s="84">
        <v>1</v>
      </c>
      <c r="R510" s="88"/>
      <c r="S510" s="84">
        <v>1</v>
      </c>
      <c r="T510" s="88"/>
      <c r="U510" s="84">
        <v>1</v>
      </c>
      <c r="V510" s="88"/>
      <c r="W510" s="86">
        <v>6</v>
      </c>
      <c r="X510" s="89"/>
      <c r="Y510" s="661" t="s">
        <v>1374</v>
      </c>
    </row>
    <row r="511" spans="2:25" x14ac:dyDescent="0.25">
      <c r="B511" s="1944"/>
      <c r="C511" s="109"/>
      <c r="D511" s="109"/>
      <c r="E511" s="109"/>
      <c r="F511" s="79"/>
      <c r="G511" s="78"/>
      <c r="H511" s="80" t="s">
        <v>2768</v>
      </c>
      <c r="I511" s="81" t="s">
        <v>103</v>
      </c>
      <c r="J511" s="93"/>
      <c r="K511" s="90">
        <v>0</v>
      </c>
      <c r="L511" s="91"/>
      <c r="M511" s="84">
        <v>1</v>
      </c>
      <c r="N511" s="91"/>
      <c r="O511" s="84">
        <v>1</v>
      </c>
      <c r="P511" s="91"/>
      <c r="Q511" s="84">
        <v>1</v>
      </c>
      <c r="R511" s="91"/>
      <c r="S511" s="84">
        <v>1</v>
      </c>
      <c r="T511" s="91"/>
      <c r="U511" s="84">
        <v>1</v>
      </c>
      <c r="V511" s="91"/>
      <c r="W511" s="86">
        <v>5</v>
      </c>
      <c r="X511" s="92"/>
      <c r="Y511" s="661" t="s">
        <v>1374</v>
      </c>
    </row>
    <row r="512" spans="2:25" ht="25.5" x14ac:dyDescent="0.25">
      <c r="B512" s="1944"/>
      <c r="C512" s="109"/>
      <c r="D512" s="109"/>
      <c r="E512" s="109"/>
      <c r="F512" s="79"/>
      <c r="G512" s="78"/>
      <c r="H512" s="80" t="s">
        <v>2769</v>
      </c>
      <c r="I512" s="81" t="s">
        <v>2770</v>
      </c>
      <c r="J512" s="93"/>
      <c r="K512" s="90">
        <v>9</v>
      </c>
      <c r="L512" s="91"/>
      <c r="M512" s="84">
        <v>9</v>
      </c>
      <c r="N512" s="91"/>
      <c r="O512" s="84">
        <v>9</v>
      </c>
      <c r="P512" s="91"/>
      <c r="Q512" s="84">
        <v>9</v>
      </c>
      <c r="R512" s="91"/>
      <c r="S512" s="84">
        <v>9</v>
      </c>
      <c r="T512" s="91"/>
      <c r="U512" s="84">
        <v>9</v>
      </c>
      <c r="V512" s="91"/>
      <c r="W512" s="86">
        <v>54</v>
      </c>
      <c r="X512" s="92"/>
      <c r="Y512" s="661" t="s">
        <v>1374</v>
      </c>
    </row>
    <row r="513" spans="2:25" ht="25.5" x14ac:dyDescent="0.25">
      <c r="B513" s="1944"/>
      <c r="C513" s="109"/>
      <c r="D513" s="109"/>
      <c r="E513" s="109"/>
      <c r="F513" s="79"/>
      <c r="G513" s="78"/>
      <c r="H513" s="80" t="s">
        <v>2771</v>
      </c>
      <c r="I513" s="81" t="s">
        <v>103</v>
      </c>
      <c r="J513" s="93"/>
      <c r="K513" s="90">
        <v>1</v>
      </c>
      <c r="L513" s="91"/>
      <c r="M513" s="84">
        <v>1</v>
      </c>
      <c r="N513" s="91"/>
      <c r="O513" s="84">
        <v>1</v>
      </c>
      <c r="P513" s="91"/>
      <c r="Q513" s="84">
        <v>1</v>
      </c>
      <c r="R513" s="91"/>
      <c r="S513" s="84">
        <v>1</v>
      </c>
      <c r="T513" s="91"/>
      <c r="U513" s="84">
        <v>1</v>
      </c>
      <c r="V513" s="91"/>
      <c r="W513" s="86">
        <v>6</v>
      </c>
      <c r="X513" s="92"/>
      <c r="Y513" s="661" t="s">
        <v>1374</v>
      </c>
    </row>
    <row r="514" spans="2:25" ht="25.5" x14ac:dyDescent="0.25">
      <c r="B514" s="1944"/>
      <c r="C514" s="109"/>
      <c r="D514" s="109"/>
      <c r="E514" s="109"/>
      <c r="F514" s="79"/>
      <c r="G514" s="78"/>
      <c r="H514" s="80" t="s">
        <v>2772</v>
      </c>
      <c r="I514" s="81" t="s">
        <v>75</v>
      </c>
      <c r="J514" s="93"/>
      <c r="K514" s="90">
        <v>1</v>
      </c>
      <c r="L514" s="91"/>
      <c r="M514" s="84">
        <v>1</v>
      </c>
      <c r="N514" s="91"/>
      <c r="O514" s="84">
        <v>1</v>
      </c>
      <c r="P514" s="91"/>
      <c r="Q514" s="84">
        <v>1</v>
      </c>
      <c r="R514" s="91"/>
      <c r="S514" s="84">
        <v>1</v>
      </c>
      <c r="T514" s="91"/>
      <c r="U514" s="84">
        <v>1</v>
      </c>
      <c r="V514" s="91"/>
      <c r="W514" s="86">
        <v>6</v>
      </c>
      <c r="X514" s="92"/>
      <c r="Y514" s="661" t="s">
        <v>1374</v>
      </c>
    </row>
    <row r="515" spans="2:25" ht="25.5" x14ac:dyDescent="0.25">
      <c r="B515" s="1944"/>
      <c r="C515" s="109"/>
      <c r="D515" s="109"/>
      <c r="E515" s="109"/>
      <c r="F515" s="79"/>
      <c r="G515" s="78"/>
      <c r="H515" s="80" t="s">
        <v>2773</v>
      </c>
      <c r="I515" s="81" t="s">
        <v>103</v>
      </c>
      <c r="J515" s="93"/>
      <c r="K515" s="90">
        <v>1</v>
      </c>
      <c r="L515" s="91"/>
      <c r="M515" s="90">
        <v>0</v>
      </c>
      <c r="N515" s="91"/>
      <c r="O515" s="90">
        <v>0</v>
      </c>
      <c r="P515" s="91"/>
      <c r="Q515" s="90">
        <v>0</v>
      </c>
      <c r="R515" s="91"/>
      <c r="S515" s="90">
        <v>0</v>
      </c>
      <c r="T515" s="91"/>
      <c r="U515" s="90">
        <v>0</v>
      </c>
      <c r="V515" s="91"/>
      <c r="W515" s="86">
        <v>1</v>
      </c>
      <c r="X515" s="92"/>
      <c r="Y515" s="661" t="s">
        <v>1374</v>
      </c>
    </row>
    <row r="516" spans="2:25" ht="25.5" x14ac:dyDescent="0.25">
      <c r="B516" s="1944"/>
      <c r="C516" s="109"/>
      <c r="D516" s="109"/>
      <c r="E516" s="109"/>
      <c r="F516" s="79"/>
      <c r="G516" s="78"/>
      <c r="H516" s="80" t="s">
        <v>2774</v>
      </c>
      <c r="I516" s="81" t="s">
        <v>103</v>
      </c>
      <c r="J516" s="93"/>
      <c r="K516" s="93">
        <v>1</v>
      </c>
      <c r="L516" s="94"/>
      <c r="M516" s="80">
        <v>0</v>
      </c>
      <c r="N516" s="94"/>
      <c r="O516" s="80">
        <v>1</v>
      </c>
      <c r="P516" s="80"/>
      <c r="Q516" s="80">
        <v>0</v>
      </c>
      <c r="R516" s="80"/>
      <c r="S516" s="80">
        <v>1</v>
      </c>
      <c r="T516" s="95"/>
      <c r="U516" s="95">
        <v>1</v>
      </c>
      <c r="V516" s="93"/>
      <c r="W516" s="86">
        <v>4</v>
      </c>
      <c r="X516" s="87"/>
      <c r="Y516" s="661" t="s">
        <v>1374</v>
      </c>
    </row>
    <row r="517" spans="2:25" ht="102" x14ac:dyDescent="0.25">
      <c r="B517" s="1944"/>
      <c r="C517" s="109"/>
      <c r="D517" s="109"/>
      <c r="E517" s="109"/>
      <c r="F517" s="79"/>
      <c r="G517" s="76" t="s">
        <v>2775</v>
      </c>
      <c r="H517" s="80" t="s">
        <v>2776</v>
      </c>
      <c r="I517" s="81" t="s">
        <v>275</v>
      </c>
      <c r="J517" s="93"/>
      <c r="K517" s="93">
        <v>4</v>
      </c>
      <c r="L517" s="94">
        <v>72000</v>
      </c>
      <c r="M517" s="80">
        <v>4</v>
      </c>
      <c r="N517" s="94">
        <v>80000</v>
      </c>
      <c r="O517" s="80">
        <v>4</v>
      </c>
      <c r="P517" s="96">
        <v>88000</v>
      </c>
      <c r="Q517" s="80">
        <v>4</v>
      </c>
      <c r="R517" s="96">
        <v>96800</v>
      </c>
      <c r="S517" s="80">
        <v>4</v>
      </c>
      <c r="T517" s="96">
        <v>106480</v>
      </c>
      <c r="U517" s="80">
        <v>4</v>
      </c>
      <c r="V517" s="96">
        <v>117128</v>
      </c>
      <c r="W517" s="86">
        <v>18</v>
      </c>
      <c r="X517" s="87"/>
      <c r="Y517" s="661" t="s">
        <v>1374</v>
      </c>
    </row>
    <row r="518" spans="2:25" ht="25.5" x14ac:dyDescent="0.25">
      <c r="B518" s="1944"/>
      <c r="C518" s="109"/>
      <c r="D518" s="109"/>
      <c r="E518" s="109"/>
      <c r="F518" s="79"/>
      <c r="G518" s="78"/>
      <c r="H518" s="80" t="s">
        <v>2777</v>
      </c>
      <c r="I518" s="81" t="s">
        <v>2778</v>
      </c>
      <c r="J518" s="93"/>
      <c r="K518" s="93">
        <v>1</v>
      </c>
      <c r="L518" s="94"/>
      <c r="M518" s="80">
        <v>1</v>
      </c>
      <c r="N518" s="94"/>
      <c r="O518" s="80">
        <v>1</v>
      </c>
      <c r="P518" s="95"/>
      <c r="Q518" s="95">
        <v>1</v>
      </c>
      <c r="R518" s="95"/>
      <c r="S518" s="95">
        <v>1</v>
      </c>
      <c r="T518" s="95"/>
      <c r="U518" s="95">
        <v>1</v>
      </c>
      <c r="V518" s="93"/>
      <c r="W518" s="86">
        <v>6</v>
      </c>
      <c r="X518" s="87"/>
      <c r="Y518" s="661" t="s">
        <v>1374</v>
      </c>
    </row>
    <row r="519" spans="2:25" ht="25.5" x14ac:dyDescent="0.25">
      <c r="B519" s="1944"/>
      <c r="C519" s="109"/>
      <c r="D519" s="109"/>
      <c r="E519" s="109"/>
      <c r="F519" s="79"/>
      <c r="G519" s="78"/>
      <c r="H519" s="80" t="s">
        <v>2779</v>
      </c>
      <c r="I519" s="81" t="s">
        <v>103</v>
      </c>
      <c r="J519" s="93"/>
      <c r="K519" s="93">
        <v>0</v>
      </c>
      <c r="L519" s="94"/>
      <c r="M519" s="80">
        <v>0</v>
      </c>
      <c r="N519" s="94"/>
      <c r="O519" s="80">
        <v>1</v>
      </c>
      <c r="P519" s="80"/>
      <c r="Q519" s="80">
        <v>0</v>
      </c>
      <c r="R519" s="80"/>
      <c r="S519" s="80">
        <v>1</v>
      </c>
      <c r="T519" s="93"/>
      <c r="U519" s="93">
        <v>0</v>
      </c>
      <c r="V519" s="93"/>
      <c r="W519" s="86">
        <v>2</v>
      </c>
      <c r="X519" s="87"/>
      <c r="Y519" s="661" t="s">
        <v>1374</v>
      </c>
    </row>
    <row r="520" spans="2:25" ht="25.5" x14ac:dyDescent="0.25">
      <c r="B520" s="1944"/>
      <c r="C520" s="109"/>
      <c r="D520" s="109"/>
      <c r="E520" s="109"/>
      <c r="F520" s="79"/>
      <c r="G520" s="78"/>
      <c r="H520" s="80" t="s">
        <v>2780</v>
      </c>
      <c r="I520" s="81" t="s">
        <v>103</v>
      </c>
      <c r="J520" s="93"/>
      <c r="K520" s="93">
        <v>0</v>
      </c>
      <c r="L520" s="94"/>
      <c r="M520" s="80">
        <v>1</v>
      </c>
      <c r="N520" s="94"/>
      <c r="O520" s="80">
        <v>0</v>
      </c>
      <c r="P520" s="80"/>
      <c r="Q520" s="80">
        <v>1</v>
      </c>
      <c r="R520" s="80"/>
      <c r="S520" s="80">
        <v>0</v>
      </c>
      <c r="T520" s="93"/>
      <c r="U520" s="93">
        <v>1</v>
      </c>
      <c r="V520" s="93"/>
      <c r="W520" s="86">
        <v>3</v>
      </c>
      <c r="X520" s="87"/>
      <c r="Y520" s="661" t="s">
        <v>1374</v>
      </c>
    </row>
    <row r="521" spans="2:25" ht="25.5" x14ac:dyDescent="0.25">
      <c r="B521" s="1944"/>
      <c r="C521" s="109"/>
      <c r="D521" s="109"/>
      <c r="E521" s="109"/>
      <c r="F521" s="79"/>
      <c r="G521" s="78"/>
      <c r="H521" s="80" t="s">
        <v>2781</v>
      </c>
      <c r="I521" s="81" t="s">
        <v>75</v>
      </c>
      <c r="J521" s="93"/>
      <c r="K521" s="93">
        <v>1</v>
      </c>
      <c r="L521" s="94"/>
      <c r="M521" s="80">
        <v>0</v>
      </c>
      <c r="N521" s="94"/>
      <c r="O521" s="80">
        <v>0</v>
      </c>
      <c r="P521" s="80"/>
      <c r="Q521" s="80">
        <v>0</v>
      </c>
      <c r="R521" s="80"/>
      <c r="S521" s="80">
        <v>0</v>
      </c>
      <c r="T521" s="93"/>
      <c r="U521" s="93">
        <v>0</v>
      </c>
      <c r="V521" s="93"/>
      <c r="W521" s="86">
        <v>1</v>
      </c>
      <c r="X521" s="87"/>
      <c r="Y521" s="661" t="s">
        <v>1374</v>
      </c>
    </row>
    <row r="522" spans="2:25" ht="25.5" x14ac:dyDescent="0.25">
      <c r="B522" s="1944"/>
      <c r="C522" s="109"/>
      <c r="D522" s="109"/>
      <c r="E522" s="109"/>
      <c r="F522" s="79"/>
      <c r="G522" s="78"/>
      <c r="H522" s="80" t="s">
        <v>2782</v>
      </c>
      <c r="I522" s="81" t="s">
        <v>75</v>
      </c>
      <c r="J522" s="93"/>
      <c r="K522" s="93">
        <v>1</v>
      </c>
      <c r="L522" s="94"/>
      <c r="M522" s="80">
        <v>0</v>
      </c>
      <c r="N522" s="94"/>
      <c r="O522" s="80">
        <v>0</v>
      </c>
      <c r="P522" s="80"/>
      <c r="Q522" s="80">
        <v>0</v>
      </c>
      <c r="R522" s="80"/>
      <c r="S522" s="80">
        <v>0</v>
      </c>
      <c r="T522" s="93"/>
      <c r="U522" s="93">
        <v>0</v>
      </c>
      <c r="V522" s="93"/>
      <c r="W522" s="86">
        <v>1</v>
      </c>
      <c r="X522" s="87"/>
      <c r="Y522" s="661" t="s">
        <v>1374</v>
      </c>
    </row>
    <row r="523" spans="2:25" x14ac:dyDescent="0.25">
      <c r="B523" s="1944"/>
      <c r="C523" s="109"/>
      <c r="D523" s="109"/>
      <c r="E523" s="109"/>
      <c r="F523" s="79"/>
      <c r="G523" s="78"/>
      <c r="H523" s="80" t="s">
        <v>2783</v>
      </c>
      <c r="I523" s="81" t="s">
        <v>75</v>
      </c>
      <c r="J523" s="93"/>
      <c r="K523" s="93">
        <v>0</v>
      </c>
      <c r="L523" s="94"/>
      <c r="M523" s="80">
        <v>0</v>
      </c>
      <c r="N523" s="94"/>
      <c r="O523" s="80">
        <v>1</v>
      </c>
      <c r="P523" s="80"/>
      <c r="Q523" s="80">
        <v>0</v>
      </c>
      <c r="R523" s="80"/>
      <c r="S523" s="80">
        <v>0</v>
      </c>
      <c r="T523" s="93"/>
      <c r="U523" s="93">
        <v>0</v>
      </c>
      <c r="V523" s="93"/>
      <c r="W523" s="86">
        <v>1</v>
      </c>
      <c r="X523" s="87"/>
      <c r="Y523" s="661" t="s">
        <v>1374</v>
      </c>
    </row>
    <row r="524" spans="2:25" ht="38.25" x14ac:dyDescent="0.25">
      <c r="B524" s="1944"/>
      <c r="C524" s="109"/>
      <c r="D524" s="109"/>
      <c r="E524" s="109"/>
      <c r="F524" s="79"/>
      <c r="G524" s="78"/>
      <c r="H524" s="80" t="s">
        <v>2784</v>
      </c>
      <c r="I524" s="81" t="s">
        <v>103</v>
      </c>
      <c r="J524" s="93"/>
      <c r="K524" s="93">
        <v>0</v>
      </c>
      <c r="L524" s="94"/>
      <c r="M524" s="80">
        <v>1</v>
      </c>
      <c r="N524" s="94"/>
      <c r="O524" s="80">
        <v>0</v>
      </c>
      <c r="P524" s="80"/>
      <c r="Q524" s="80">
        <v>1</v>
      </c>
      <c r="R524" s="80"/>
      <c r="S524" s="80">
        <v>0</v>
      </c>
      <c r="T524" s="93"/>
      <c r="U524" s="93">
        <v>1</v>
      </c>
      <c r="V524" s="95"/>
      <c r="W524" s="86">
        <v>3</v>
      </c>
      <c r="X524" s="87"/>
      <c r="Y524" s="661" t="s">
        <v>1374</v>
      </c>
    </row>
    <row r="525" spans="2:25" ht="25.5" x14ac:dyDescent="0.25">
      <c r="B525" s="1944"/>
      <c r="C525" s="109"/>
      <c r="D525" s="109"/>
      <c r="E525" s="109"/>
      <c r="F525" s="79"/>
      <c r="G525" s="97"/>
      <c r="H525" s="80" t="s">
        <v>2785</v>
      </c>
      <c r="I525" s="81" t="s">
        <v>103</v>
      </c>
      <c r="J525" s="93"/>
      <c r="K525" s="93">
        <v>0</v>
      </c>
      <c r="L525" s="94"/>
      <c r="M525" s="80">
        <v>0</v>
      </c>
      <c r="N525" s="94"/>
      <c r="O525" s="80">
        <v>0</v>
      </c>
      <c r="P525" s="80"/>
      <c r="Q525" s="80">
        <v>0</v>
      </c>
      <c r="R525" s="80"/>
      <c r="S525" s="80">
        <v>1</v>
      </c>
      <c r="T525" s="93"/>
      <c r="U525" s="93">
        <v>0</v>
      </c>
      <c r="V525" s="95"/>
      <c r="W525" s="86">
        <v>1</v>
      </c>
      <c r="X525" s="87"/>
      <c r="Y525" s="661" t="s">
        <v>1374</v>
      </c>
    </row>
    <row r="526" spans="2:25" ht="89.25" x14ac:dyDescent="0.25">
      <c r="B526" s="1944"/>
      <c r="C526" s="109"/>
      <c r="D526" s="109"/>
      <c r="E526" s="109"/>
      <c r="F526" s="79"/>
      <c r="G526" s="98" t="s">
        <v>2786</v>
      </c>
      <c r="H526" s="80" t="s">
        <v>2787</v>
      </c>
      <c r="I526" s="81" t="s">
        <v>40</v>
      </c>
      <c r="J526" s="93">
        <v>12</v>
      </c>
      <c r="K526" s="93">
        <v>12</v>
      </c>
      <c r="L526" s="94">
        <v>60000</v>
      </c>
      <c r="M526" s="80">
        <v>12</v>
      </c>
      <c r="N526" s="94">
        <v>40000</v>
      </c>
      <c r="O526" s="80">
        <v>12</v>
      </c>
      <c r="P526" s="96">
        <v>44000</v>
      </c>
      <c r="Q526" s="80">
        <v>12</v>
      </c>
      <c r="R526" s="96">
        <v>48400</v>
      </c>
      <c r="S526" s="80">
        <v>12</v>
      </c>
      <c r="T526" s="96">
        <v>53240</v>
      </c>
      <c r="U526" s="80">
        <v>12</v>
      </c>
      <c r="V526" s="96">
        <v>58564</v>
      </c>
      <c r="W526" s="86">
        <v>72</v>
      </c>
      <c r="X526" s="87"/>
      <c r="Y526" s="661" t="s">
        <v>1374</v>
      </c>
    </row>
    <row r="527" spans="2:25" ht="38.25" x14ac:dyDescent="0.25">
      <c r="B527" s="1944"/>
      <c r="C527" s="109"/>
      <c r="D527" s="109"/>
      <c r="E527" s="109"/>
      <c r="F527" s="79"/>
      <c r="G527" s="76" t="s">
        <v>2788</v>
      </c>
      <c r="H527" s="80" t="s">
        <v>2789</v>
      </c>
      <c r="I527" s="81" t="s">
        <v>2790</v>
      </c>
      <c r="J527" s="99">
        <v>0</v>
      </c>
      <c r="K527" s="99">
        <v>2</v>
      </c>
      <c r="L527" s="100">
        <v>1500000</v>
      </c>
      <c r="M527" s="99">
        <v>2</v>
      </c>
      <c r="N527" s="101">
        <v>1500000</v>
      </c>
      <c r="O527" s="99">
        <v>2</v>
      </c>
      <c r="P527" s="101">
        <v>1500000</v>
      </c>
      <c r="Q527" s="99">
        <v>2</v>
      </c>
      <c r="R527" s="101">
        <v>1500000</v>
      </c>
      <c r="S527" s="99">
        <v>2</v>
      </c>
      <c r="T527" s="101">
        <v>1500000</v>
      </c>
      <c r="U527" s="99">
        <v>2</v>
      </c>
      <c r="V527" s="101">
        <v>1500000</v>
      </c>
      <c r="W527" s="86">
        <v>12</v>
      </c>
      <c r="X527" s="87"/>
      <c r="Y527" s="661" t="s">
        <v>1374</v>
      </c>
    </row>
    <row r="528" spans="2:25" x14ac:dyDescent="0.25">
      <c r="B528" s="1944"/>
      <c r="C528" s="109"/>
      <c r="D528" s="109"/>
      <c r="E528" s="109"/>
      <c r="F528" s="79"/>
      <c r="G528" s="78"/>
      <c r="H528" s="102" t="s">
        <v>2791</v>
      </c>
      <c r="I528" s="81"/>
      <c r="J528" s="99">
        <v>0</v>
      </c>
      <c r="K528" s="99">
        <v>1</v>
      </c>
      <c r="L528" s="99"/>
      <c r="M528" s="99">
        <v>0</v>
      </c>
      <c r="N528" s="95"/>
      <c r="O528" s="99">
        <v>0</v>
      </c>
      <c r="P528" s="96"/>
      <c r="Q528" s="99">
        <v>0</v>
      </c>
      <c r="R528" s="96"/>
      <c r="S528" s="99">
        <v>0</v>
      </c>
      <c r="T528" s="96"/>
      <c r="U528" s="99">
        <v>0</v>
      </c>
      <c r="V528" s="96"/>
      <c r="W528" s="86">
        <v>1</v>
      </c>
      <c r="X528" s="87"/>
      <c r="Y528" s="661" t="s">
        <v>1374</v>
      </c>
    </row>
    <row r="529" spans="2:25" x14ac:dyDescent="0.25">
      <c r="B529" s="1944"/>
      <c r="C529" s="109"/>
      <c r="D529" s="109"/>
      <c r="E529" s="109"/>
      <c r="F529" s="79"/>
      <c r="G529" s="78"/>
      <c r="H529" s="102" t="s">
        <v>2792</v>
      </c>
      <c r="I529" s="81"/>
      <c r="J529" s="99">
        <v>0</v>
      </c>
      <c r="K529" s="99">
        <v>1</v>
      </c>
      <c r="L529" s="99"/>
      <c r="M529" s="99">
        <v>0</v>
      </c>
      <c r="N529" s="95"/>
      <c r="O529" s="99">
        <v>0</v>
      </c>
      <c r="P529" s="96"/>
      <c r="Q529" s="99">
        <v>0</v>
      </c>
      <c r="R529" s="96"/>
      <c r="S529" s="99">
        <v>0</v>
      </c>
      <c r="T529" s="96"/>
      <c r="U529" s="99">
        <v>0</v>
      </c>
      <c r="V529" s="96"/>
      <c r="W529" s="86">
        <v>1</v>
      </c>
      <c r="X529" s="87"/>
      <c r="Y529" s="661" t="s">
        <v>1374</v>
      </c>
    </row>
    <row r="530" spans="2:25" x14ac:dyDescent="0.25">
      <c r="B530" s="1944"/>
      <c r="C530" s="109"/>
      <c r="D530" s="109"/>
      <c r="E530" s="109"/>
      <c r="F530" s="79"/>
      <c r="G530" s="78"/>
      <c r="H530" s="102" t="s">
        <v>2793</v>
      </c>
      <c r="I530" s="81"/>
      <c r="J530" s="99">
        <v>0</v>
      </c>
      <c r="K530" s="99">
        <v>0</v>
      </c>
      <c r="L530" s="99"/>
      <c r="M530" s="99">
        <v>2</v>
      </c>
      <c r="N530" s="95"/>
      <c r="O530" s="99">
        <v>2</v>
      </c>
      <c r="P530" s="96"/>
      <c r="Q530" s="99">
        <v>2</v>
      </c>
      <c r="R530" s="96"/>
      <c r="S530" s="99">
        <v>2</v>
      </c>
      <c r="T530" s="96"/>
      <c r="U530" s="99">
        <v>2</v>
      </c>
      <c r="V530" s="96"/>
      <c r="W530" s="86">
        <v>10</v>
      </c>
      <c r="X530" s="87"/>
      <c r="Y530" s="661" t="s">
        <v>1374</v>
      </c>
    </row>
    <row r="531" spans="2:25" ht="38.25" x14ac:dyDescent="0.25">
      <c r="B531" s="1944"/>
      <c r="C531" s="109"/>
      <c r="D531" s="109"/>
      <c r="E531" s="109"/>
      <c r="F531" s="79"/>
      <c r="G531" s="97"/>
      <c r="H531" s="80" t="s">
        <v>2794</v>
      </c>
      <c r="I531" s="81" t="s">
        <v>97</v>
      </c>
      <c r="J531" s="99">
        <v>0</v>
      </c>
      <c r="K531" s="99">
        <v>0</v>
      </c>
      <c r="L531" s="99">
        <v>0</v>
      </c>
      <c r="M531" s="93">
        <v>4</v>
      </c>
      <c r="N531" s="95">
        <v>200000</v>
      </c>
      <c r="O531" s="93">
        <v>3</v>
      </c>
      <c r="P531" s="96">
        <v>220000</v>
      </c>
      <c r="Q531" s="93">
        <v>3</v>
      </c>
      <c r="R531" s="96">
        <v>242000</v>
      </c>
      <c r="S531" s="93">
        <v>3</v>
      </c>
      <c r="T531" s="96">
        <v>266200</v>
      </c>
      <c r="U531" s="93">
        <v>3</v>
      </c>
      <c r="V531" s="96">
        <v>292820</v>
      </c>
      <c r="W531" s="86">
        <v>16</v>
      </c>
      <c r="X531" s="87"/>
      <c r="Y531" s="661" t="s">
        <v>1374</v>
      </c>
    </row>
    <row r="532" spans="2:25" ht="63.75" x14ac:dyDescent="0.25">
      <c r="B532" s="1944"/>
      <c r="C532" s="109"/>
      <c r="D532" s="109"/>
      <c r="E532" s="109"/>
      <c r="F532" s="79"/>
      <c r="G532" s="98" t="s">
        <v>2795</v>
      </c>
      <c r="H532" s="98" t="s">
        <v>2796</v>
      </c>
      <c r="I532" s="81" t="s">
        <v>2763</v>
      </c>
      <c r="J532" s="93">
        <v>50</v>
      </c>
      <c r="K532" s="93">
        <v>50</v>
      </c>
      <c r="L532" s="95">
        <v>15000</v>
      </c>
      <c r="M532" s="93">
        <v>50</v>
      </c>
      <c r="N532" s="95">
        <v>20000</v>
      </c>
      <c r="O532" s="93">
        <v>60</v>
      </c>
      <c r="P532" s="96">
        <v>22000</v>
      </c>
      <c r="Q532" s="93">
        <v>70</v>
      </c>
      <c r="R532" s="96">
        <v>24200</v>
      </c>
      <c r="S532" s="93">
        <v>80</v>
      </c>
      <c r="T532" s="96">
        <v>26620</v>
      </c>
      <c r="U532" s="93">
        <v>90</v>
      </c>
      <c r="V532" s="96">
        <v>29282</v>
      </c>
      <c r="W532" s="86">
        <v>400</v>
      </c>
      <c r="X532" s="87"/>
      <c r="Y532" s="661" t="s">
        <v>1374</v>
      </c>
    </row>
    <row r="533" spans="2:25" ht="72" x14ac:dyDescent="0.25">
      <c r="B533" s="1944"/>
      <c r="C533" s="109"/>
      <c r="D533" s="109"/>
      <c r="E533" s="109"/>
      <c r="F533" s="205"/>
      <c r="G533" s="124" t="s">
        <v>1376</v>
      </c>
      <c r="H533" s="124" t="s">
        <v>1377</v>
      </c>
      <c r="I533" s="135" t="s">
        <v>275</v>
      </c>
      <c r="J533" s="425"/>
      <c r="K533" s="142">
        <v>4</v>
      </c>
      <c r="L533" s="129">
        <f>SUM(L534:L547)</f>
        <v>1207700</v>
      </c>
      <c r="M533" s="129">
        <v>4</v>
      </c>
      <c r="N533" s="129">
        <f>SUM(N534:N547)</f>
        <v>1400000</v>
      </c>
      <c r="O533" s="129">
        <v>4</v>
      </c>
      <c r="P533" s="129">
        <f>SUM(P534:P547)</f>
        <v>1540000</v>
      </c>
      <c r="Q533" s="129">
        <v>4</v>
      </c>
      <c r="R533" s="129">
        <f>SUM(R534:R547)</f>
        <v>1694000</v>
      </c>
      <c r="S533" s="129">
        <v>4</v>
      </c>
      <c r="T533" s="129">
        <f>SUM(T534:T547)</f>
        <v>1863400</v>
      </c>
      <c r="U533" s="129">
        <v>4</v>
      </c>
      <c r="V533" s="129">
        <f>SUM(V534:V547)</f>
        <v>2049740</v>
      </c>
      <c r="W533" s="129">
        <v>24</v>
      </c>
      <c r="X533" s="143"/>
      <c r="Y533" s="661" t="s">
        <v>1374</v>
      </c>
    </row>
    <row r="534" spans="2:25" ht="76.5" x14ac:dyDescent="0.25">
      <c r="B534" s="1944"/>
      <c r="C534" s="109"/>
      <c r="D534" s="109"/>
      <c r="E534" s="109"/>
      <c r="F534" s="79"/>
      <c r="G534" s="98" t="s">
        <v>2797</v>
      </c>
      <c r="H534" s="98" t="s">
        <v>2798</v>
      </c>
      <c r="I534" s="81" t="s">
        <v>100</v>
      </c>
      <c r="J534" s="93">
        <v>55</v>
      </c>
      <c r="K534" s="93">
        <v>56</v>
      </c>
      <c r="L534" s="95">
        <v>447700</v>
      </c>
      <c r="M534" s="93">
        <v>60</v>
      </c>
      <c r="N534" s="95">
        <v>625000</v>
      </c>
      <c r="O534" s="93">
        <v>62</v>
      </c>
      <c r="P534" s="96">
        <v>687500</v>
      </c>
      <c r="Q534" s="93">
        <v>63</v>
      </c>
      <c r="R534" s="96">
        <v>756250</v>
      </c>
      <c r="S534" s="93">
        <v>64</v>
      </c>
      <c r="T534" s="96">
        <v>831875</v>
      </c>
      <c r="U534" s="93">
        <v>65</v>
      </c>
      <c r="V534" s="96">
        <v>915062.5</v>
      </c>
      <c r="W534" s="86">
        <v>370</v>
      </c>
      <c r="X534" s="87"/>
      <c r="Y534" s="661" t="s">
        <v>1374</v>
      </c>
    </row>
    <row r="535" spans="2:25" ht="76.5" x14ac:dyDescent="0.25">
      <c r="B535" s="1944"/>
      <c r="C535" s="109"/>
      <c r="D535" s="109"/>
      <c r="E535" s="109"/>
      <c r="F535" s="79"/>
      <c r="G535" s="103" t="s">
        <v>2799</v>
      </c>
      <c r="H535" s="98" t="s">
        <v>2800</v>
      </c>
      <c r="I535" s="81" t="s">
        <v>103</v>
      </c>
      <c r="J535" s="93">
        <v>9</v>
      </c>
      <c r="K535" s="93">
        <v>23</v>
      </c>
      <c r="L535" s="95">
        <v>600000</v>
      </c>
      <c r="M535" s="93">
        <v>42</v>
      </c>
      <c r="N535" s="95">
        <v>610000</v>
      </c>
      <c r="O535" s="93">
        <v>44</v>
      </c>
      <c r="P535" s="96">
        <v>671000</v>
      </c>
      <c r="Q535" s="93">
        <v>44</v>
      </c>
      <c r="R535" s="96">
        <v>738100</v>
      </c>
      <c r="S535" s="93">
        <v>44</v>
      </c>
      <c r="T535" s="96">
        <v>811910</v>
      </c>
      <c r="U535" s="93">
        <v>44</v>
      </c>
      <c r="V535" s="96">
        <v>893101</v>
      </c>
      <c r="W535" s="86">
        <v>241</v>
      </c>
      <c r="X535" s="87"/>
      <c r="Y535" s="661" t="s">
        <v>1374</v>
      </c>
    </row>
    <row r="536" spans="2:25" ht="25.5" x14ac:dyDescent="0.25">
      <c r="B536" s="1944"/>
      <c r="C536" s="109"/>
      <c r="D536" s="109"/>
      <c r="E536" s="109"/>
      <c r="F536" s="79"/>
      <c r="G536" s="103"/>
      <c r="H536" s="76" t="s">
        <v>2801</v>
      </c>
      <c r="I536" s="104" t="s">
        <v>103</v>
      </c>
      <c r="J536" s="105"/>
      <c r="K536" s="105">
        <v>2</v>
      </c>
      <c r="L536" s="106"/>
      <c r="M536" s="105">
        <v>9</v>
      </c>
      <c r="N536" s="106"/>
      <c r="O536" s="105">
        <v>10</v>
      </c>
      <c r="P536" s="106"/>
      <c r="Q536" s="105">
        <v>10</v>
      </c>
      <c r="R536" s="106"/>
      <c r="S536" s="105">
        <v>10</v>
      </c>
      <c r="T536" s="106"/>
      <c r="U536" s="105">
        <v>10</v>
      </c>
      <c r="V536" s="106"/>
      <c r="W536" s="107">
        <v>51</v>
      </c>
      <c r="X536" s="108"/>
      <c r="Y536" s="661" t="s">
        <v>1374</v>
      </c>
    </row>
    <row r="537" spans="2:25" ht="25.5" x14ac:dyDescent="0.25">
      <c r="B537" s="1944"/>
      <c r="C537" s="109"/>
      <c r="D537" s="109"/>
      <c r="E537" s="109"/>
      <c r="F537" s="79"/>
      <c r="G537" s="109"/>
      <c r="H537" s="78" t="s">
        <v>2802</v>
      </c>
      <c r="I537" s="110" t="s">
        <v>103</v>
      </c>
      <c r="J537" s="111"/>
      <c r="K537" s="111">
        <v>2</v>
      </c>
      <c r="L537" s="112"/>
      <c r="M537" s="111">
        <v>8</v>
      </c>
      <c r="N537" s="112"/>
      <c r="O537" s="111">
        <v>8</v>
      </c>
      <c r="P537" s="112"/>
      <c r="Q537" s="111">
        <v>8</v>
      </c>
      <c r="R537" s="112"/>
      <c r="S537" s="111">
        <v>8</v>
      </c>
      <c r="T537" s="112"/>
      <c r="U537" s="111">
        <v>8</v>
      </c>
      <c r="V537" s="112"/>
      <c r="W537" s="113">
        <v>42</v>
      </c>
      <c r="X537" s="89"/>
      <c r="Y537" s="661" t="s">
        <v>1374</v>
      </c>
    </row>
    <row r="538" spans="2:25" ht="25.5" x14ac:dyDescent="0.25">
      <c r="B538" s="1944"/>
      <c r="C538" s="109"/>
      <c r="D538" s="109"/>
      <c r="E538" s="109"/>
      <c r="F538" s="79"/>
      <c r="G538" s="109"/>
      <c r="H538" s="78" t="s">
        <v>2803</v>
      </c>
      <c r="I538" s="110" t="s">
        <v>103</v>
      </c>
      <c r="J538" s="111"/>
      <c r="K538" s="111">
        <v>2</v>
      </c>
      <c r="L538" s="112"/>
      <c r="M538" s="111">
        <v>9</v>
      </c>
      <c r="N538" s="112"/>
      <c r="O538" s="111">
        <v>10</v>
      </c>
      <c r="P538" s="112"/>
      <c r="Q538" s="111">
        <v>10</v>
      </c>
      <c r="R538" s="112"/>
      <c r="S538" s="111">
        <v>10</v>
      </c>
      <c r="T538" s="112"/>
      <c r="U538" s="111">
        <v>10</v>
      </c>
      <c r="V538" s="112"/>
      <c r="W538" s="113">
        <v>51</v>
      </c>
      <c r="X538" s="89"/>
      <c r="Y538" s="661" t="s">
        <v>1374</v>
      </c>
    </row>
    <row r="539" spans="2:25" ht="38.25" x14ac:dyDescent="0.25">
      <c r="B539" s="1944"/>
      <c r="C539" s="109"/>
      <c r="D539" s="109"/>
      <c r="E539" s="109"/>
      <c r="F539" s="79"/>
      <c r="G539" s="109"/>
      <c r="H539" s="78" t="s">
        <v>2804</v>
      </c>
      <c r="I539" s="110" t="s">
        <v>103</v>
      </c>
      <c r="J539" s="111"/>
      <c r="K539" s="111">
        <v>2</v>
      </c>
      <c r="L539" s="112"/>
      <c r="M539" s="111">
        <v>2</v>
      </c>
      <c r="N539" s="112"/>
      <c r="O539" s="111">
        <v>2</v>
      </c>
      <c r="P539" s="112"/>
      <c r="Q539" s="111">
        <v>2</v>
      </c>
      <c r="R539" s="112"/>
      <c r="S539" s="111">
        <v>2</v>
      </c>
      <c r="T539" s="112"/>
      <c r="U539" s="111">
        <v>2</v>
      </c>
      <c r="V539" s="112"/>
      <c r="W539" s="113">
        <v>12</v>
      </c>
      <c r="X539" s="89"/>
      <c r="Y539" s="661" t="s">
        <v>1374</v>
      </c>
    </row>
    <row r="540" spans="2:25" ht="25.5" x14ac:dyDescent="0.25">
      <c r="B540" s="1944"/>
      <c r="C540" s="109"/>
      <c r="D540" s="109"/>
      <c r="E540" s="109"/>
      <c r="F540" s="79"/>
      <c r="G540" s="109"/>
      <c r="H540" s="78" t="s">
        <v>2805</v>
      </c>
      <c r="I540" s="110" t="s">
        <v>103</v>
      </c>
      <c r="J540" s="111"/>
      <c r="K540" s="111">
        <v>2</v>
      </c>
      <c r="L540" s="112"/>
      <c r="M540" s="111">
        <v>1</v>
      </c>
      <c r="N540" s="112"/>
      <c r="O540" s="111">
        <v>1</v>
      </c>
      <c r="P540" s="112"/>
      <c r="Q540" s="111">
        <v>1</v>
      </c>
      <c r="R540" s="112"/>
      <c r="S540" s="112">
        <v>1</v>
      </c>
      <c r="T540" s="112"/>
      <c r="U540" s="111">
        <v>1</v>
      </c>
      <c r="V540" s="112"/>
      <c r="W540" s="113">
        <v>7</v>
      </c>
      <c r="X540" s="89"/>
      <c r="Y540" s="661" t="s">
        <v>1374</v>
      </c>
    </row>
    <row r="541" spans="2:25" ht="25.5" x14ac:dyDescent="0.25">
      <c r="B541" s="1944"/>
      <c r="C541" s="109"/>
      <c r="D541" s="109"/>
      <c r="E541" s="109"/>
      <c r="F541" s="79"/>
      <c r="G541" s="109"/>
      <c r="H541" s="78" t="s">
        <v>2806</v>
      </c>
      <c r="I541" s="110" t="s">
        <v>103</v>
      </c>
      <c r="J541" s="111"/>
      <c r="K541" s="111">
        <v>2</v>
      </c>
      <c r="L541" s="112"/>
      <c r="M541" s="111">
        <v>2</v>
      </c>
      <c r="N541" s="112"/>
      <c r="O541" s="111">
        <v>2</v>
      </c>
      <c r="P541" s="112"/>
      <c r="Q541" s="111">
        <v>2</v>
      </c>
      <c r="R541" s="112"/>
      <c r="S541" s="111">
        <v>2</v>
      </c>
      <c r="T541" s="112"/>
      <c r="U541" s="111">
        <v>2</v>
      </c>
      <c r="V541" s="112"/>
      <c r="W541" s="113">
        <v>12</v>
      </c>
      <c r="X541" s="89"/>
      <c r="Y541" s="661" t="s">
        <v>1374</v>
      </c>
    </row>
    <row r="542" spans="2:25" ht="38.25" x14ac:dyDescent="0.25">
      <c r="B542" s="1944"/>
      <c r="C542" s="109"/>
      <c r="D542" s="109"/>
      <c r="E542" s="109"/>
      <c r="F542" s="79"/>
      <c r="G542" s="109"/>
      <c r="H542" s="78" t="s">
        <v>2807</v>
      </c>
      <c r="I542" s="110" t="s">
        <v>103</v>
      </c>
      <c r="J542" s="111"/>
      <c r="K542" s="111">
        <v>2</v>
      </c>
      <c r="L542" s="112"/>
      <c r="M542" s="111">
        <v>2</v>
      </c>
      <c r="N542" s="112"/>
      <c r="O542" s="111">
        <v>2</v>
      </c>
      <c r="P542" s="112"/>
      <c r="Q542" s="111">
        <v>2</v>
      </c>
      <c r="R542" s="112"/>
      <c r="S542" s="111">
        <v>2</v>
      </c>
      <c r="T542" s="112"/>
      <c r="U542" s="111">
        <v>2</v>
      </c>
      <c r="V542" s="112"/>
      <c r="W542" s="113">
        <v>12</v>
      </c>
      <c r="X542" s="89"/>
      <c r="Y542" s="661" t="s">
        <v>1374</v>
      </c>
    </row>
    <row r="543" spans="2:25" ht="25.5" x14ac:dyDescent="0.25">
      <c r="B543" s="1944"/>
      <c r="C543" s="109"/>
      <c r="D543" s="109"/>
      <c r="E543" s="109"/>
      <c r="F543" s="79"/>
      <c r="G543" s="109"/>
      <c r="H543" s="78" t="s">
        <v>2808</v>
      </c>
      <c r="I543" s="110" t="s">
        <v>103</v>
      </c>
      <c r="J543" s="111"/>
      <c r="K543" s="111">
        <v>4</v>
      </c>
      <c r="L543" s="112"/>
      <c r="M543" s="111">
        <v>4</v>
      </c>
      <c r="N543" s="112"/>
      <c r="O543" s="111">
        <v>4</v>
      </c>
      <c r="P543" s="112"/>
      <c r="Q543" s="111">
        <v>4</v>
      </c>
      <c r="R543" s="112"/>
      <c r="S543" s="111">
        <v>4</v>
      </c>
      <c r="T543" s="112"/>
      <c r="U543" s="111">
        <v>4</v>
      </c>
      <c r="V543" s="112"/>
      <c r="W543" s="113">
        <v>24</v>
      </c>
      <c r="X543" s="89"/>
      <c r="Y543" s="661" t="s">
        <v>1374</v>
      </c>
    </row>
    <row r="544" spans="2:25" ht="63.75" x14ac:dyDescent="0.25">
      <c r="B544" s="1944"/>
      <c r="C544" s="109"/>
      <c r="D544" s="109"/>
      <c r="E544" s="109"/>
      <c r="F544" s="79"/>
      <c r="G544" s="109"/>
      <c r="H544" s="78" t="s">
        <v>2809</v>
      </c>
      <c r="I544" s="110" t="s">
        <v>103</v>
      </c>
      <c r="J544" s="111"/>
      <c r="K544" s="111">
        <v>4</v>
      </c>
      <c r="L544" s="112"/>
      <c r="M544" s="111">
        <v>4</v>
      </c>
      <c r="N544" s="112"/>
      <c r="O544" s="111">
        <v>4</v>
      </c>
      <c r="P544" s="112"/>
      <c r="Q544" s="111">
        <v>4</v>
      </c>
      <c r="R544" s="112"/>
      <c r="S544" s="111">
        <v>4</v>
      </c>
      <c r="T544" s="112"/>
      <c r="U544" s="111">
        <v>4</v>
      </c>
      <c r="V544" s="112"/>
      <c r="W544" s="113">
        <v>24</v>
      </c>
      <c r="X544" s="89"/>
      <c r="Y544" s="661" t="s">
        <v>1374</v>
      </c>
    </row>
    <row r="545" spans="2:25" ht="25.5" x14ac:dyDescent="0.25">
      <c r="B545" s="1944"/>
      <c r="C545" s="109"/>
      <c r="D545" s="109"/>
      <c r="E545" s="109"/>
      <c r="F545" s="79"/>
      <c r="G545" s="109"/>
      <c r="H545" s="97" t="s">
        <v>2810</v>
      </c>
      <c r="I545" s="114" t="s">
        <v>103</v>
      </c>
      <c r="J545" s="115"/>
      <c r="K545" s="115">
        <v>1</v>
      </c>
      <c r="L545" s="116"/>
      <c r="M545" s="115">
        <v>1</v>
      </c>
      <c r="N545" s="116"/>
      <c r="O545" s="115">
        <v>1</v>
      </c>
      <c r="P545" s="116"/>
      <c r="Q545" s="115">
        <v>1</v>
      </c>
      <c r="R545" s="116"/>
      <c r="S545" s="115">
        <v>1</v>
      </c>
      <c r="T545" s="116"/>
      <c r="U545" s="115">
        <v>1</v>
      </c>
      <c r="V545" s="116"/>
      <c r="W545" s="117">
        <v>6</v>
      </c>
      <c r="X545" s="92"/>
      <c r="Y545" s="661" t="s">
        <v>1374</v>
      </c>
    </row>
    <row r="546" spans="2:25" ht="76.5" x14ac:dyDescent="0.25">
      <c r="B546" s="1944"/>
      <c r="C546" s="109"/>
      <c r="D546" s="109"/>
      <c r="E546" s="109"/>
      <c r="F546" s="79"/>
      <c r="G546" s="80" t="s">
        <v>2811</v>
      </c>
      <c r="H546" s="98" t="s">
        <v>2812</v>
      </c>
      <c r="I546" s="81" t="s">
        <v>2813</v>
      </c>
      <c r="J546" s="93">
        <v>1</v>
      </c>
      <c r="K546" s="93">
        <v>1</v>
      </c>
      <c r="L546" s="96">
        <v>150000</v>
      </c>
      <c r="M546" s="93">
        <v>1</v>
      </c>
      <c r="N546" s="96">
        <v>155000</v>
      </c>
      <c r="O546" s="93">
        <v>1</v>
      </c>
      <c r="P546" s="96">
        <v>170500</v>
      </c>
      <c r="Q546" s="93">
        <v>1</v>
      </c>
      <c r="R546" s="96">
        <v>187550</v>
      </c>
      <c r="S546" s="93">
        <v>1</v>
      </c>
      <c r="T546" s="96">
        <v>206305</v>
      </c>
      <c r="U546" s="93">
        <v>1</v>
      </c>
      <c r="V546" s="96">
        <v>226935.5</v>
      </c>
      <c r="W546" s="86">
        <v>6</v>
      </c>
      <c r="X546" s="87"/>
      <c r="Y546" s="661" t="s">
        <v>1374</v>
      </c>
    </row>
    <row r="547" spans="2:25" ht="76.5" x14ac:dyDescent="0.25">
      <c r="B547" s="1944"/>
      <c r="C547" s="109"/>
      <c r="D547" s="109"/>
      <c r="E547" s="109"/>
      <c r="F547" s="79"/>
      <c r="G547" s="98" t="s">
        <v>2814</v>
      </c>
      <c r="H547" s="98" t="s">
        <v>2815</v>
      </c>
      <c r="I547" s="81" t="s">
        <v>40</v>
      </c>
      <c r="J547" s="99">
        <v>0</v>
      </c>
      <c r="K547" s="99">
        <v>12</v>
      </c>
      <c r="L547" s="96">
        <v>10000</v>
      </c>
      <c r="M547" s="93">
        <v>12</v>
      </c>
      <c r="N547" s="96">
        <v>10000</v>
      </c>
      <c r="O547" s="93">
        <v>12</v>
      </c>
      <c r="P547" s="96">
        <v>11000</v>
      </c>
      <c r="Q547" s="93">
        <v>12</v>
      </c>
      <c r="R547" s="96">
        <v>12100</v>
      </c>
      <c r="S547" s="93">
        <v>12</v>
      </c>
      <c r="T547" s="96">
        <v>13310</v>
      </c>
      <c r="U547" s="93">
        <v>12</v>
      </c>
      <c r="V547" s="96">
        <v>14641</v>
      </c>
      <c r="W547" s="86">
        <v>72</v>
      </c>
      <c r="X547" s="87"/>
      <c r="Y547" s="661" t="s">
        <v>1374</v>
      </c>
    </row>
    <row r="548" spans="2:25" ht="60" x14ac:dyDescent="0.25">
      <c r="B548" s="1944"/>
      <c r="C548" s="109"/>
      <c r="D548" s="109"/>
      <c r="E548" s="109"/>
      <c r="F548" s="205"/>
      <c r="G548" s="124" t="s">
        <v>1378</v>
      </c>
      <c r="H548" s="124" t="s">
        <v>1379</v>
      </c>
      <c r="I548" s="135" t="s">
        <v>1380</v>
      </c>
      <c r="J548" s="426">
        <v>9</v>
      </c>
      <c r="K548" s="142">
        <v>9</v>
      </c>
      <c r="L548" s="129">
        <f>SUM(L549:L566)</f>
        <v>13273000</v>
      </c>
      <c r="M548" s="129">
        <v>9</v>
      </c>
      <c r="N548" s="129">
        <f>SUM(N549:N566)</f>
        <v>17544000</v>
      </c>
      <c r="O548" s="129">
        <v>9</v>
      </c>
      <c r="P548" s="129">
        <f>SUM(P549:P566)</f>
        <v>19298400</v>
      </c>
      <c r="Q548" s="129">
        <v>9</v>
      </c>
      <c r="R548" s="129">
        <f>SUM(R549:R566)</f>
        <v>21228240</v>
      </c>
      <c r="S548" s="129">
        <v>9</v>
      </c>
      <c r="T548" s="129">
        <f>SUM(T549:T566)</f>
        <v>23351064</v>
      </c>
      <c r="U548" s="129">
        <v>9</v>
      </c>
      <c r="V548" s="129">
        <f>SUM(V549:V566)</f>
        <v>22384920.399999999</v>
      </c>
      <c r="W548" s="129">
        <v>54</v>
      </c>
      <c r="X548" s="143"/>
      <c r="Y548" s="661" t="s">
        <v>1374</v>
      </c>
    </row>
    <row r="549" spans="2:25" ht="76.5" x14ac:dyDescent="0.25">
      <c r="B549" s="1944"/>
      <c r="C549" s="109"/>
      <c r="D549" s="109"/>
      <c r="E549" s="109"/>
      <c r="F549" s="79"/>
      <c r="G549" s="76" t="s">
        <v>2816</v>
      </c>
      <c r="H549" s="98" t="s">
        <v>2817</v>
      </c>
      <c r="I549" s="81" t="s">
        <v>1380</v>
      </c>
      <c r="J549" s="93">
        <v>9</v>
      </c>
      <c r="K549" s="93">
        <v>6</v>
      </c>
      <c r="L549" s="95">
        <v>12348000</v>
      </c>
      <c r="M549" s="93">
        <v>2</v>
      </c>
      <c r="N549" s="95">
        <v>12500000</v>
      </c>
      <c r="O549" s="93">
        <v>3</v>
      </c>
      <c r="P549" s="96">
        <v>13750000</v>
      </c>
      <c r="Q549" s="93">
        <v>4</v>
      </c>
      <c r="R549" s="96">
        <v>15125000</v>
      </c>
      <c r="S549" s="93">
        <v>4</v>
      </c>
      <c r="T549" s="96">
        <v>16637500</v>
      </c>
      <c r="U549" s="93">
        <v>4</v>
      </c>
      <c r="V549" s="95">
        <v>15000000</v>
      </c>
      <c r="W549" s="86">
        <v>23</v>
      </c>
      <c r="X549" s="87"/>
      <c r="Y549" s="661" t="s">
        <v>1374</v>
      </c>
    </row>
    <row r="550" spans="2:25" ht="63.75" x14ac:dyDescent="0.25">
      <c r="B550" s="1944"/>
      <c r="C550" s="109"/>
      <c r="D550" s="109"/>
      <c r="E550" s="109"/>
      <c r="F550" s="79"/>
      <c r="G550" s="78"/>
      <c r="H550" s="118" t="s">
        <v>2818</v>
      </c>
      <c r="I550" s="81" t="s">
        <v>79</v>
      </c>
      <c r="J550" s="93"/>
      <c r="K550" s="93">
        <v>1</v>
      </c>
      <c r="L550" s="95"/>
      <c r="M550" s="93">
        <v>0</v>
      </c>
      <c r="N550" s="95"/>
      <c r="O550" s="93">
        <v>0</v>
      </c>
      <c r="P550" s="96"/>
      <c r="Q550" s="93">
        <v>0</v>
      </c>
      <c r="R550" s="96"/>
      <c r="S550" s="93">
        <v>0</v>
      </c>
      <c r="T550" s="96"/>
      <c r="U550" s="93">
        <v>0</v>
      </c>
      <c r="V550" s="95"/>
      <c r="W550" s="86">
        <v>1</v>
      </c>
      <c r="X550" s="119"/>
      <c r="Y550" s="661" t="s">
        <v>1374</v>
      </c>
    </row>
    <row r="551" spans="2:25" ht="51" x14ac:dyDescent="0.25">
      <c r="B551" s="1944"/>
      <c r="C551" s="109"/>
      <c r="D551" s="109"/>
      <c r="E551" s="109"/>
      <c r="F551" s="79"/>
      <c r="G551" s="78"/>
      <c r="H551" s="118" t="s">
        <v>2819</v>
      </c>
      <c r="I551" s="81" t="s">
        <v>79</v>
      </c>
      <c r="J551" s="93"/>
      <c r="K551" s="93">
        <v>1</v>
      </c>
      <c r="L551" s="95"/>
      <c r="M551" s="93">
        <v>0</v>
      </c>
      <c r="N551" s="95"/>
      <c r="O551" s="93">
        <v>0</v>
      </c>
      <c r="P551" s="96"/>
      <c r="Q551" s="93">
        <v>0</v>
      </c>
      <c r="R551" s="96"/>
      <c r="S551" s="93">
        <v>0</v>
      </c>
      <c r="T551" s="96"/>
      <c r="U551" s="93">
        <v>0</v>
      </c>
      <c r="V551" s="95"/>
      <c r="W551" s="86">
        <v>1</v>
      </c>
      <c r="X551" s="119"/>
      <c r="Y551" s="661" t="s">
        <v>1374</v>
      </c>
    </row>
    <row r="552" spans="2:25" ht="51" x14ac:dyDescent="0.25">
      <c r="B552" s="1944"/>
      <c r="C552" s="109"/>
      <c r="D552" s="109"/>
      <c r="E552" s="109"/>
      <c r="F552" s="79"/>
      <c r="G552" s="78"/>
      <c r="H552" s="118" t="s">
        <v>2820</v>
      </c>
      <c r="I552" s="81" t="s">
        <v>69</v>
      </c>
      <c r="J552" s="93"/>
      <c r="K552" s="93">
        <v>0</v>
      </c>
      <c r="L552" s="95"/>
      <c r="M552" s="93">
        <v>1</v>
      </c>
      <c r="N552" s="95"/>
      <c r="O552" s="93">
        <v>0</v>
      </c>
      <c r="P552" s="96"/>
      <c r="Q552" s="93">
        <v>0</v>
      </c>
      <c r="R552" s="96"/>
      <c r="S552" s="93">
        <v>0</v>
      </c>
      <c r="T552" s="96"/>
      <c r="U552" s="93">
        <v>0</v>
      </c>
      <c r="V552" s="95"/>
      <c r="W552" s="86">
        <v>1</v>
      </c>
      <c r="X552" s="119"/>
      <c r="Y552" s="661" t="s">
        <v>1374</v>
      </c>
    </row>
    <row r="553" spans="2:25" ht="51" x14ac:dyDescent="0.25">
      <c r="B553" s="1944"/>
      <c r="C553" s="109"/>
      <c r="D553" s="109"/>
      <c r="E553" s="109"/>
      <c r="F553" s="79"/>
      <c r="G553" s="78"/>
      <c r="H553" s="118" t="s">
        <v>2821</v>
      </c>
      <c r="I553" s="81" t="s">
        <v>69</v>
      </c>
      <c r="J553" s="93"/>
      <c r="K553" s="93">
        <v>0</v>
      </c>
      <c r="L553" s="95"/>
      <c r="M553" s="93">
        <v>1</v>
      </c>
      <c r="N553" s="95"/>
      <c r="O553" s="93">
        <v>0</v>
      </c>
      <c r="P553" s="96"/>
      <c r="Q553" s="93">
        <v>0</v>
      </c>
      <c r="R553" s="96"/>
      <c r="S553" s="93">
        <v>0</v>
      </c>
      <c r="T553" s="96"/>
      <c r="U553" s="93">
        <v>0</v>
      </c>
      <c r="V553" s="95"/>
      <c r="W553" s="86">
        <v>1</v>
      </c>
      <c r="X553" s="119"/>
      <c r="Y553" s="661" t="s">
        <v>1374</v>
      </c>
    </row>
    <row r="554" spans="2:25" ht="51" x14ac:dyDescent="0.25">
      <c r="B554" s="1944"/>
      <c r="C554" s="109"/>
      <c r="D554" s="109"/>
      <c r="E554" s="109"/>
      <c r="F554" s="79"/>
      <c r="G554" s="78"/>
      <c r="H554" s="118" t="s">
        <v>2822</v>
      </c>
      <c r="I554" s="81" t="s">
        <v>69</v>
      </c>
      <c r="J554" s="93"/>
      <c r="K554" s="93">
        <v>1</v>
      </c>
      <c r="L554" s="95"/>
      <c r="M554" s="93">
        <v>0</v>
      </c>
      <c r="N554" s="95"/>
      <c r="O554" s="93">
        <v>0</v>
      </c>
      <c r="P554" s="96"/>
      <c r="Q554" s="93">
        <v>0</v>
      </c>
      <c r="R554" s="96"/>
      <c r="S554" s="93">
        <v>1</v>
      </c>
      <c r="T554" s="96"/>
      <c r="U554" s="93">
        <v>0</v>
      </c>
      <c r="V554" s="95"/>
      <c r="W554" s="86">
        <v>2</v>
      </c>
      <c r="X554" s="119"/>
      <c r="Y554" s="661" t="s">
        <v>1374</v>
      </c>
    </row>
    <row r="555" spans="2:25" ht="51" x14ac:dyDescent="0.25">
      <c r="B555" s="1944"/>
      <c r="C555" s="109"/>
      <c r="D555" s="109"/>
      <c r="E555" s="109"/>
      <c r="F555" s="79"/>
      <c r="G555" s="78"/>
      <c r="H555" s="118" t="s">
        <v>2823</v>
      </c>
      <c r="I555" s="81" t="s">
        <v>69</v>
      </c>
      <c r="J555" s="93"/>
      <c r="K555" s="93">
        <v>0</v>
      </c>
      <c r="L555" s="95"/>
      <c r="M555" s="93">
        <v>0</v>
      </c>
      <c r="N555" s="95"/>
      <c r="O555" s="93">
        <v>1</v>
      </c>
      <c r="P555" s="96"/>
      <c r="Q555" s="93">
        <v>0</v>
      </c>
      <c r="R555" s="96"/>
      <c r="S555" s="93">
        <v>1</v>
      </c>
      <c r="T555" s="96"/>
      <c r="U555" s="93">
        <v>0</v>
      </c>
      <c r="V555" s="95"/>
      <c r="W555" s="86">
        <v>2</v>
      </c>
      <c r="X555" s="119"/>
      <c r="Y555" s="661" t="s">
        <v>1374</v>
      </c>
    </row>
    <row r="556" spans="2:25" ht="51" x14ac:dyDescent="0.25">
      <c r="B556" s="1944"/>
      <c r="C556" s="109"/>
      <c r="D556" s="109"/>
      <c r="E556" s="109"/>
      <c r="F556" s="79"/>
      <c r="G556" s="78"/>
      <c r="H556" s="118" t="s">
        <v>2824</v>
      </c>
      <c r="I556" s="81" t="s">
        <v>69</v>
      </c>
      <c r="J556" s="93"/>
      <c r="K556" s="93">
        <v>0</v>
      </c>
      <c r="L556" s="95"/>
      <c r="M556" s="93">
        <v>0</v>
      </c>
      <c r="N556" s="95"/>
      <c r="O556" s="93">
        <v>0</v>
      </c>
      <c r="P556" s="96"/>
      <c r="Q556" s="93">
        <v>1</v>
      </c>
      <c r="R556" s="96"/>
      <c r="S556" s="93">
        <v>0</v>
      </c>
      <c r="T556" s="96"/>
      <c r="U556" s="93">
        <v>1</v>
      </c>
      <c r="V556" s="95"/>
      <c r="W556" s="86">
        <v>2</v>
      </c>
      <c r="X556" s="119"/>
      <c r="Y556" s="661" t="s">
        <v>1374</v>
      </c>
    </row>
    <row r="557" spans="2:25" ht="51" x14ac:dyDescent="0.25">
      <c r="B557" s="1944"/>
      <c r="C557" s="109"/>
      <c r="D557" s="109"/>
      <c r="E557" s="109"/>
      <c r="F557" s="79"/>
      <c r="G557" s="78"/>
      <c r="H557" s="118" t="s">
        <v>2825</v>
      </c>
      <c r="I557" s="81" t="s">
        <v>69</v>
      </c>
      <c r="J557" s="93"/>
      <c r="K557" s="93">
        <v>1</v>
      </c>
      <c r="L557" s="95"/>
      <c r="M557" s="93">
        <v>0</v>
      </c>
      <c r="N557" s="95"/>
      <c r="O557" s="93">
        <v>1</v>
      </c>
      <c r="P557" s="96"/>
      <c r="Q557" s="93">
        <v>0</v>
      </c>
      <c r="R557" s="96"/>
      <c r="S557" s="93">
        <v>1</v>
      </c>
      <c r="T557" s="96"/>
      <c r="U557" s="93">
        <v>0</v>
      </c>
      <c r="V557" s="95"/>
      <c r="W557" s="86">
        <v>3</v>
      </c>
      <c r="X557" s="119"/>
      <c r="Y557" s="661" t="s">
        <v>1374</v>
      </c>
    </row>
    <row r="558" spans="2:25" ht="51" x14ac:dyDescent="0.25">
      <c r="B558" s="1944"/>
      <c r="C558" s="109"/>
      <c r="D558" s="109"/>
      <c r="E558" s="109"/>
      <c r="F558" s="79"/>
      <c r="G558" s="78"/>
      <c r="H558" s="118" t="s">
        <v>2826</v>
      </c>
      <c r="I558" s="81" t="s">
        <v>69</v>
      </c>
      <c r="J558" s="93"/>
      <c r="K558" s="93">
        <v>1</v>
      </c>
      <c r="L558" s="95"/>
      <c r="M558" s="93">
        <v>0</v>
      </c>
      <c r="N558" s="95"/>
      <c r="O558" s="93">
        <v>1</v>
      </c>
      <c r="P558" s="96"/>
      <c r="Q558" s="93">
        <v>0</v>
      </c>
      <c r="R558" s="96"/>
      <c r="S558" s="93">
        <v>1</v>
      </c>
      <c r="T558" s="96"/>
      <c r="U558" s="93">
        <v>0</v>
      </c>
      <c r="V558" s="95"/>
      <c r="W558" s="86">
        <v>3</v>
      </c>
      <c r="X558" s="119"/>
      <c r="Y558" s="661" t="s">
        <v>1374</v>
      </c>
    </row>
    <row r="559" spans="2:25" ht="51" x14ac:dyDescent="0.25">
      <c r="B559" s="1944"/>
      <c r="C559" s="109"/>
      <c r="D559" s="109"/>
      <c r="E559" s="109"/>
      <c r="F559" s="79"/>
      <c r="G559" s="78"/>
      <c r="H559" s="118" t="s">
        <v>2827</v>
      </c>
      <c r="I559" s="81" t="s">
        <v>69</v>
      </c>
      <c r="J559" s="93"/>
      <c r="K559" s="93">
        <v>1</v>
      </c>
      <c r="L559" s="95"/>
      <c r="M559" s="93">
        <v>0</v>
      </c>
      <c r="N559" s="95"/>
      <c r="O559" s="93">
        <v>0</v>
      </c>
      <c r="P559" s="96"/>
      <c r="Q559" s="93">
        <v>1</v>
      </c>
      <c r="R559" s="96"/>
      <c r="S559" s="93">
        <v>0</v>
      </c>
      <c r="T559" s="96"/>
      <c r="U559" s="93">
        <v>1</v>
      </c>
      <c r="V559" s="95"/>
      <c r="W559" s="86">
        <v>3</v>
      </c>
      <c r="X559" s="119"/>
      <c r="Y559" s="661" t="s">
        <v>1374</v>
      </c>
    </row>
    <row r="560" spans="2:25" ht="51" x14ac:dyDescent="0.25">
      <c r="B560" s="1944"/>
      <c r="C560" s="109"/>
      <c r="D560" s="109"/>
      <c r="E560" s="109"/>
      <c r="F560" s="79"/>
      <c r="G560" s="78"/>
      <c r="H560" s="118" t="s">
        <v>2828</v>
      </c>
      <c r="I560" s="81" t="s">
        <v>69</v>
      </c>
      <c r="J560" s="93"/>
      <c r="K560" s="93">
        <v>0</v>
      </c>
      <c r="L560" s="95"/>
      <c r="M560" s="93">
        <v>0</v>
      </c>
      <c r="N560" s="95"/>
      <c r="O560" s="93">
        <v>0</v>
      </c>
      <c r="P560" s="96"/>
      <c r="Q560" s="93">
        <v>1</v>
      </c>
      <c r="R560" s="96"/>
      <c r="S560" s="93">
        <v>0</v>
      </c>
      <c r="T560" s="96"/>
      <c r="U560" s="93">
        <v>0</v>
      </c>
      <c r="V560" s="95"/>
      <c r="W560" s="86">
        <v>1</v>
      </c>
      <c r="X560" s="119"/>
      <c r="Y560" s="661" t="s">
        <v>1374</v>
      </c>
    </row>
    <row r="561" spans="2:25" ht="51" x14ac:dyDescent="0.25">
      <c r="B561" s="1944"/>
      <c r="C561" s="109"/>
      <c r="D561" s="109"/>
      <c r="E561" s="109"/>
      <c r="F561" s="79"/>
      <c r="G561" s="78"/>
      <c r="H561" s="118" t="s">
        <v>2829</v>
      </c>
      <c r="I561" s="81" t="s">
        <v>69</v>
      </c>
      <c r="J561" s="93"/>
      <c r="K561" s="93">
        <v>0</v>
      </c>
      <c r="L561" s="95"/>
      <c r="M561" s="93">
        <v>0</v>
      </c>
      <c r="N561" s="95"/>
      <c r="O561" s="93">
        <v>1</v>
      </c>
      <c r="P561" s="96"/>
      <c r="Q561" s="93">
        <v>0</v>
      </c>
      <c r="R561" s="96"/>
      <c r="S561" s="93">
        <v>0</v>
      </c>
      <c r="T561" s="96"/>
      <c r="U561" s="93">
        <v>1</v>
      </c>
      <c r="V561" s="95"/>
      <c r="W561" s="86">
        <v>2</v>
      </c>
      <c r="X561" s="119"/>
      <c r="Y561" s="661" t="s">
        <v>1374</v>
      </c>
    </row>
    <row r="562" spans="2:25" ht="51" x14ac:dyDescent="0.25">
      <c r="B562" s="1944"/>
      <c r="C562" s="109"/>
      <c r="D562" s="109"/>
      <c r="E562" s="109"/>
      <c r="F562" s="79"/>
      <c r="G562" s="97"/>
      <c r="H562" s="118" t="s">
        <v>2830</v>
      </c>
      <c r="I562" s="81" t="s">
        <v>69</v>
      </c>
      <c r="J562" s="93"/>
      <c r="K562" s="93">
        <v>0</v>
      </c>
      <c r="L562" s="95"/>
      <c r="M562" s="93">
        <v>0</v>
      </c>
      <c r="N562" s="95"/>
      <c r="O562" s="93">
        <v>0</v>
      </c>
      <c r="P562" s="96"/>
      <c r="Q562" s="93">
        <v>1</v>
      </c>
      <c r="R562" s="96"/>
      <c r="S562" s="93">
        <v>0</v>
      </c>
      <c r="T562" s="96"/>
      <c r="U562" s="93">
        <v>1</v>
      </c>
      <c r="V562" s="95"/>
      <c r="W562" s="86">
        <v>2</v>
      </c>
      <c r="X562" s="119"/>
      <c r="Y562" s="661" t="s">
        <v>1374</v>
      </c>
    </row>
    <row r="563" spans="2:25" ht="76.5" x14ac:dyDescent="0.25">
      <c r="B563" s="1944"/>
      <c r="C563" s="109"/>
      <c r="D563" s="109"/>
      <c r="E563" s="109"/>
      <c r="F563" s="79"/>
      <c r="G563" s="98" t="s">
        <v>2831</v>
      </c>
      <c r="H563" s="98" t="s">
        <v>2832</v>
      </c>
      <c r="I563" s="81" t="s">
        <v>1380</v>
      </c>
      <c r="J563" s="93">
        <v>1</v>
      </c>
      <c r="K563" s="93">
        <v>0</v>
      </c>
      <c r="L563" s="93">
        <v>0</v>
      </c>
      <c r="M563" s="93">
        <v>1</v>
      </c>
      <c r="N563" s="95">
        <v>1000000</v>
      </c>
      <c r="O563" s="93">
        <v>2</v>
      </c>
      <c r="P563" s="96">
        <v>1100000</v>
      </c>
      <c r="Q563" s="93">
        <v>2</v>
      </c>
      <c r="R563" s="96">
        <v>1210000</v>
      </c>
      <c r="S563" s="93">
        <v>2</v>
      </c>
      <c r="T563" s="96">
        <v>1331000</v>
      </c>
      <c r="U563" s="93">
        <v>2</v>
      </c>
      <c r="V563" s="96">
        <v>1464100</v>
      </c>
      <c r="W563" s="86">
        <v>9</v>
      </c>
      <c r="X563" s="87"/>
      <c r="Y563" s="661" t="s">
        <v>1374</v>
      </c>
    </row>
    <row r="564" spans="2:25" ht="63.75" x14ac:dyDescent="0.25">
      <c r="B564" s="1944"/>
      <c r="C564" s="109"/>
      <c r="D564" s="109"/>
      <c r="E564" s="109"/>
      <c r="F564" s="79"/>
      <c r="G564" s="98" t="s">
        <v>2833</v>
      </c>
      <c r="H564" s="98" t="s">
        <v>2834</v>
      </c>
      <c r="I564" s="81" t="s">
        <v>1380</v>
      </c>
      <c r="J564" s="93">
        <v>9</v>
      </c>
      <c r="K564" s="93">
        <v>9</v>
      </c>
      <c r="L564" s="95">
        <v>835000</v>
      </c>
      <c r="M564" s="93">
        <v>9</v>
      </c>
      <c r="N564" s="95">
        <v>3974000</v>
      </c>
      <c r="O564" s="93">
        <v>9</v>
      </c>
      <c r="P564" s="96">
        <v>4371400</v>
      </c>
      <c r="Q564" s="93">
        <v>9</v>
      </c>
      <c r="R564" s="96">
        <v>4808540</v>
      </c>
      <c r="S564" s="93">
        <v>9</v>
      </c>
      <c r="T564" s="96">
        <v>5289394</v>
      </c>
      <c r="U564" s="93">
        <v>9</v>
      </c>
      <c r="V564" s="96">
        <v>5818333.4000000004</v>
      </c>
      <c r="W564" s="86">
        <v>54</v>
      </c>
      <c r="X564" s="87"/>
      <c r="Y564" s="661" t="s">
        <v>1374</v>
      </c>
    </row>
    <row r="565" spans="2:25" ht="63.75" x14ac:dyDescent="0.25">
      <c r="B565" s="1944"/>
      <c r="C565" s="109"/>
      <c r="D565" s="109"/>
      <c r="E565" s="109"/>
      <c r="F565" s="79"/>
      <c r="G565" s="98" t="s">
        <v>2835</v>
      </c>
      <c r="H565" s="98" t="s">
        <v>2836</v>
      </c>
      <c r="I565" s="81" t="s">
        <v>275</v>
      </c>
      <c r="J565" s="93">
        <v>1</v>
      </c>
      <c r="K565" s="93">
        <v>2</v>
      </c>
      <c r="L565" s="94">
        <v>90000</v>
      </c>
      <c r="M565" s="80">
        <v>1</v>
      </c>
      <c r="N565" s="94">
        <v>40000</v>
      </c>
      <c r="O565" s="80">
        <v>1</v>
      </c>
      <c r="P565" s="96">
        <v>44000</v>
      </c>
      <c r="Q565" s="80">
        <v>1</v>
      </c>
      <c r="R565" s="96">
        <v>48400</v>
      </c>
      <c r="S565" s="80">
        <v>1</v>
      </c>
      <c r="T565" s="96">
        <v>53240</v>
      </c>
      <c r="U565" s="80">
        <v>1</v>
      </c>
      <c r="V565" s="96">
        <v>58564</v>
      </c>
      <c r="W565" s="86">
        <v>7</v>
      </c>
      <c r="X565" s="87"/>
      <c r="Y565" s="661" t="s">
        <v>1374</v>
      </c>
    </row>
    <row r="566" spans="2:25" ht="51" x14ac:dyDescent="0.25">
      <c r="B566" s="1944"/>
      <c r="C566" s="109"/>
      <c r="D566" s="109"/>
      <c r="E566" s="109"/>
      <c r="F566" s="79"/>
      <c r="G566" s="98" t="s">
        <v>2837</v>
      </c>
      <c r="H566" s="98" t="s">
        <v>2838</v>
      </c>
      <c r="I566" s="81" t="s">
        <v>103</v>
      </c>
      <c r="J566" s="99">
        <v>0</v>
      </c>
      <c r="K566" s="99">
        <v>0</v>
      </c>
      <c r="L566" s="99">
        <v>0</v>
      </c>
      <c r="M566" s="93">
        <v>2</v>
      </c>
      <c r="N566" s="95">
        <v>30000</v>
      </c>
      <c r="O566" s="93">
        <v>2</v>
      </c>
      <c r="P566" s="96">
        <v>33000</v>
      </c>
      <c r="Q566" s="93">
        <v>2</v>
      </c>
      <c r="R566" s="96">
        <v>36300</v>
      </c>
      <c r="S566" s="93">
        <v>2</v>
      </c>
      <c r="T566" s="96">
        <v>39930</v>
      </c>
      <c r="U566" s="93">
        <v>2</v>
      </c>
      <c r="V566" s="96">
        <v>43923</v>
      </c>
      <c r="W566" s="86">
        <v>10</v>
      </c>
      <c r="X566" s="87"/>
      <c r="Y566" s="661" t="s">
        <v>1374</v>
      </c>
    </row>
    <row r="567" spans="2:25" x14ac:dyDescent="0.25">
      <c r="B567" s="1944"/>
      <c r="C567" s="80"/>
      <c r="D567" s="80"/>
      <c r="E567" s="80"/>
      <c r="F567" s="125"/>
      <c r="G567" s="76"/>
      <c r="H567" s="76"/>
      <c r="I567" s="104"/>
      <c r="J567" s="1856"/>
      <c r="K567" s="1856"/>
      <c r="L567" s="1856"/>
      <c r="M567" s="105"/>
      <c r="N567" s="106"/>
      <c r="O567" s="105"/>
      <c r="P567" s="85"/>
      <c r="Q567" s="105"/>
      <c r="R567" s="96"/>
      <c r="S567" s="93"/>
      <c r="T567" s="96"/>
      <c r="U567" s="93"/>
      <c r="V567" s="96"/>
      <c r="W567" s="86"/>
      <c r="X567" s="87"/>
      <c r="Y567" s="661"/>
    </row>
    <row r="568" spans="2:25" ht="108" x14ac:dyDescent="0.25">
      <c r="B568" s="1944"/>
      <c r="C568" s="79" t="s">
        <v>4090</v>
      </c>
      <c r="D568" s="79" t="s">
        <v>4091</v>
      </c>
      <c r="E568" s="123" t="s">
        <v>4088</v>
      </c>
      <c r="F568" s="172" t="s">
        <v>4087</v>
      </c>
      <c r="G568" s="976" t="s">
        <v>4086</v>
      </c>
      <c r="H568" s="655"/>
      <c r="I568" s="655"/>
      <c r="J568" s="1791">
        <v>42.857142857142854</v>
      </c>
      <c r="K568" s="1791">
        <v>62.5</v>
      </c>
      <c r="L568" s="655"/>
      <c r="M568" s="1791">
        <v>62.222222222222221</v>
      </c>
      <c r="N568" s="655"/>
      <c r="O568" s="1791">
        <v>64</v>
      </c>
      <c r="P568" s="96"/>
      <c r="Q568" s="1791">
        <v>67.272727272727266</v>
      </c>
      <c r="R568" s="96"/>
      <c r="S568" s="1791">
        <v>70</v>
      </c>
      <c r="T568" s="96"/>
      <c r="U568" s="1791">
        <v>69.230769230769226</v>
      </c>
      <c r="V568" s="96"/>
      <c r="W568" s="1791">
        <v>69.230769230769226</v>
      </c>
      <c r="X568" s="87"/>
      <c r="Y568" s="661"/>
    </row>
    <row r="569" spans="2:25" ht="60" x14ac:dyDescent="0.25">
      <c r="B569" s="1944"/>
      <c r="C569" s="109"/>
      <c r="D569" s="109"/>
      <c r="E569" s="109"/>
      <c r="F569" s="79"/>
      <c r="G569" s="124" t="s">
        <v>1484</v>
      </c>
      <c r="H569" s="125" t="s">
        <v>1485</v>
      </c>
      <c r="I569" s="126" t="s">
        <v>19</v>
      </c>
      <c r="J569" s="424">
        <v>42.857142857142854</v>
      </c>
      <c r="K569" s="127">
        <v>62.5</v>
      </c>
      <c r="L569" s="128">
        <f>SUM(L570:L586)</f>
        <v>360000</v>
      </c>
      <c r="M569" s="127">
        <v>62.222222222222221</v>
      </c>
      <c r="N569" s="128">
        <f>SUM(N570:N586)</f>
        <v>1085000</v>
      </c>
      <c r="O569" s="127">
        <v>64</v>
      </c>
      <c r="P569" s="128">
        <f>SUM(P570:P586)</f>
        <v>1193500</v>
      </c>
      <c r="Q569" s="127">
        <v>67.272727272727266</v>
      </c>
      <c r="R569" s="128">
        <f>SUM(R570:R586)</f>
        <v>1312850</v>
      </c>
      <c r="S569" s="127">
        <v>70</v>
      </c>
      <c r="T569" s="128">
        <f>SUM(T570:T586)</f>
        <v>1444135</v>
      </c>
      <c r="U569" s="127">
        <v>69.230769230769226</v>
      </c>
      <c r="V569" s="128">
        <f>SUM(V570:V586)</f>
        <v>1588548.5</v>
      </c>
      <c r="W569" s="129">
        <v>70</v>
      </c>
      <c r="X569" s="87"/>
      <c r="Y569" s="661" t="s">
        <v>1374</v>
      </c>
    </row>
    <row r="570" spans="2:25" ht="38.25" x14ac:dyDescent="0.25">
      <c r="B570" s="1944"/>
      <c r="C570" s="109"/>
      <c r="D570" s="109"/>
      <c r="E570" s="109"/>
      <c r="F570" s="79"/>
      <c r="G570" s="76" t="s">
        <v>2840</v>
      </c>
      <c r="H570" s="80" t="s">
        <v>2841</v>
      </c>
      <c r="I570" s="81" t="s">
        <v>103</v>
      </c>
      <c r="J570" s="93">
        <v>5</v>
      </c>
      <c r="K570" s="93">
        <v>7</v>
      </c>
      <c r="L570" s="94">
        <v>360000</v>
      </c>
      <c r="M570" s="130">
        <v>15</v>
      </c>
      <c r="N570" s="94">
        <v>1085000</v>
      </c>
      <c r="O570" s="84">
        <v>9</v>
      </c>
      <c r="P570" s="96">
        <v>1193500</v>
      </c>
      <c r="Q570" s="84">
        <v>11</v>
      </c>
      <c r="R570" s="96">
        <v>1312850</v>
      </c>
      <c r="S570" s="84">
        <v>12</v>
      </c>
      <c r="T570" s="96">
        <v>1444135</v>
      </c>
      <c r="U570" s="84">
        <v>12</v>
      </c>
      <c r="V570" s="96">
        <v>1588548.5</v>
      </c>
      <c r="W570" s="86">
        <v>66</v>
      </c>
      <c r="X570" s="87"/>
      <c r="Y570" s="661" t="s">
        <v>1374</v>
      </c>
    </row>
    <row r="571" spans="2:25" ht="38.25" x14ac:dyDescent="0.25">
      <c r="B571" s="1944"/>
      <c r="C571" s="109"/>
      <c r="D571" s="109"/>
      <c r="E571" s="109"/>
      <c r="F571" s="79"/>
      <c r="G571" s="78"/>
      <c r="H571" s="131" t="s">
        <v>2842</v>
      </c>
      <c r="I571" s="114" t="s">
        <v>103</v>
      </c>
      <c r="J571" s="115">
        <v>1</v>
      </c>
      <c r="K571" s="115">
        <v>1</v>
      </c>
      <c r="L571" s="88"/>
      <c r="M571" s="132">
        <v>1</v>
      </c>
      <c r="N571" s="88"/>
      <c r="O571" s="133">
        <v>1</v>
      </c>
      <c r="P571" s="88"/>
      <c r="Q571" s="133">
        <v>1</v>
      </c>
      <c r="R571" s="88"/>
      <c r="S571" s="133">
        <v>1</v>
      </c>
      <c r="T571" s="88"/>
      <c r="U571" s="133">
        <v>1</v>
      </c>
      <c r="V571" s="88"/>
      <c r="W571" s="117">
        <v>6</v>
      </c>
      <c r="X571" s="89"/>
      <c r="Y571" s="661" t="s">
        <v>1374</v>
      </c>
    </row>
    <row r="572" spans="2:25" ht="25.5" x14ac:dyDescent="0.25">
      <c r="B572" s="1944"/>
      <c r="C572" s="109"/>
      <c r="D572" s="109"/>
      <c r="E572" s="109"/>
      <c r="F572" s="79"/>
      <c r="G572" s="78"/>
      <c r="H572" s="80" t="s">
        <v>2843</v>
      </c>
      <c r="I572" s="81" t="s">
        <v>103</v>
      </c>
      <c r="J572" s="93">
        <v>4</v>
      </c>
      <c r="K572" s="93">
        <v>4</v>
      </c>
      <c r="L572" s="88"/>
      <c r="M572" s="130">
        <v>4</v>
      </c>
      <c r="N572" s="88"/>
      <c r="O572" s="84">
        <v>4</v>
      </c>
      <c r="P572" s="88"/>
      <c r="Q572" s="84">
        <v>4</v>
      </c>
      <c r="R572" s="88"/>
      <c r="S572" s="84">
        <v>4</v>
      </c>
      <c r="T572" s="88"/>
      <c r="U572" s="84">
        <v>4</v>
      </c>
      <c r="V572" s="88"/>
      <c r="W572" s="86">
        <v>24</v>
      </c>
      <c r="X572" s="89"/>
      <c r="Y572" s="661" t="s">
        <v>1374</v>
      </c>
    </row>
    <row r="573" spans="2:25" ht="51" x14ac:dyDescent="0.25">
      <c r="B573" s="1944"/>
      <c r="C573" s="109"/>
      <c r="D573" s="109"/>
      <c r="E573" s="109"/>
      <c r="F573" s="79"/>
      <c r="G573" s="78"/>
      <c r="H573" s="80" t="s">
        <v>2844</v>
      </c>
      <c r="I573" s="81" t="s">
        <v>103</v>
      </c>
      <c r="J573" s="93">
        <v>1</v>
      </c>
      <c r="K573" s="93">
        <v>1</v>
      </c>
      <c r="L573" s="88"/>
      <c r="M573" s="130">
        <v>1</v>
      </c>
      <c r="N573" s="88"/>
      <c r="O573" s="84">
        <v>1</v>
      </c>
      <c r="P573" s="88"/>
      <c r="Q573" s="84">
        <v>1</v>
      </c>
      <c r="R573" s="88"/>
      <c r="S573" s="84">
        <v>1</v>
      </c>
      <c r="T573" s="88"/>
      <c r="U573" s="84">
        <v>1</v>
      </c>
      <c r="V573" s="88"/>
      <c r="W573" s="86">
        <v>6</v>
      </c>
      <c r="X573" s="89"/>
      <c r="Y573" s="661" t="s">
        <v>1374</v>
      </c>
    </row>
    <row r="574" spans="2:25" ht="38.25" x14ac:dyDescent="0.25">
      <c r="B574" s="1944"/>
      <c r="C574" s="109"/>
      <c r="D574" s="109"/>
      <c r="E574" s="109"/>
      <c r="F574" s="79"/>
      <c r="G574" s="78"/>
      <c r="H574" s="80" t="s">
        <v>2845</v>
      </c>
      <c r="I574" s="81" t="s">
        <v>103</v>
      </c>
      <c r="J574" s="93">
        <v>1</v>
      </c>
      <c r="K574" s="93">
        <v>1</v>
      </c>
      <c r="L574" s="88"/>
      <c r="M574" s="130">
        <v>1</v>
      </c>
      <c r="N574" s="88"/>
      <c r="O574" s="84">
        <v>1</v>
      </c>
      <c r="P574" s="88"/>
      <c r="Q574" s="84">
        <v>1</v>
      </c>
      <c r="R574" s="88"/>
      <c r="S574" s="84">
        <v>1</v>
      </c>
      <c r="T574" s="88"/>
      <c r="U574" s="84">
        <v>1</v>
      </c>
      <c r="V574" s="88"/>
      <c r="W574" s="86">
        <v>6</v>
      </c>
      <c r="X574" s="89"/>
      <c r="Y574" s="661" t="s">
        <v>1374</v>
      </c>
    </row>
    <row r="575" spans="2:25" ht="25.5" x14ac:dyDescent="0.25">
      <c r="B575" s="1944"/>
      <c r="C575" s="109"/>
      <c r="D575" s="109"/>
      <c r="E575" s="109"/>
      <c r="F575" s="79"/>
      <c r="G575" s="78"/>
      <c r="H575" s="80" t="s">
        <v>2846</v>
      </c>
      <c r="I575" s="81" t="s">
        <v>103</v>
      </c>
      <c r="J575" s="93">
        <v>0</v>
      </c>
      <c r="K575" s="93">
        <v>0</v>
      </c>
      <c r="L575" s="88"/>
      <c r="M575" s="130">
        <v>1</v>
      </c>
      <c r="N575" s="88"/>
      <c r="O575" s="84">
        <v>1</v>
      </c>
      <c r="P575" s="88"/>
      <c r="Q575" s="84">
        <v>1</v>
      </c>
      <c r="R575" s="88"/>
      <c r="S575" s="84">
        <v>1</v>
      </c>
      <c r="T575" s="88"/>
      <c r="U575" s="84">
        <v>1</v>
      </c>
      <c r="V575" s="88"/>
      <c r="W575" s="86">
        <v>5</v>
      </c>
      <c r="X575" s="89"/>
      <c r="Y575" s="661" t="s">
        <v>1374</v>
      </c>
    </row>
    <row r="576" spans="2:25" ht="25.5" x14ac:dyDescent="0.25">
      <c r="B576" s="1944"/>
      <c r="C576" s="109"/>
      <c r="D576" s="109"/>
      <c r="E576" s="109"/>
      <c r="F576" s="79"/>
      <c r="G576" s="78"/>
      <c r="H576" s="80" t="s">
        <v>2847</v>
      </c>
      <c r="I576" s="81" t="s">
        <v>103</v>
      </c>
      <c r="J576" s="93">
        <v>0</v>
      </c>
      <c r="K576" s="93">
        <v>0</v>
      </c>
      <c r="L576" s="88"/>
      <c r="M576" s="130">
        <v>1</v>
      </c>
      <c r="N576" s="88"/>
      <c r="O576" s="84">
        <v>1</v>
      </c>
      <c r="P576" s="88"/>
      <c r="Q576" s="84">
        <v>1</v>
      </c>
      <c r="R576" s="88"/>
      <c r="S576" s="84">
        <v>1</v>
      </c>
      <c r="T576" s="88"/>
      <c r="U576" s="84">
        <v>1</v>
      </c>
      <c r="V576" s="88"/>
      <c r="W576" s="86">
        <v>5</v>
      </c>
      <c r="X576" s="89"/>
      <c r="Y576" s="661" t="s">
        <v>1374</v>
      </c>
    </row>
    <row r="577" spans="2:25" ht="25.5" x14ac:dyDescent="0.25">
      <c r="B577" s="1944"/>
      <c r="C577" s="109"/>
      <c r="D577" s="109"/>
      <c r="E577" s="109"/>
      <c r="F577" s="79"/>
      <c r="G577" s="78"/>
      <c r="H577" s="80" t="s">
        <v>2848</v>
      </c>
      <c r="I577" s="81" t="s">
        <v>103</v>
      </c>
      <c r="J577" s="93">
        <v>0</v>
      </c>
      <c r="K577" s="93">
        <v>0</v>
      </c>
      <c r="L577" s="88"/>
      <c r="M577" s="130">
        <v>1</v>
      </c>
      <c r="N577" s="88"/>
      <c r="O577" s="84">
        <v>1</v>
      </c>
      <c r="P577" s="88"/>
      <c r="Q577" s="84">
        <v>1</v>
      </c>
      <c r="R577" s="88"/>
      <c r="S577" s="84">
        <v>1</v>
      </c>
      <c r="T577" s="88"/>
      <c r="U577" s="84">
        <v>1</v>
      </c>
      <c r="V577" s="88"/>
      <c r="W577" s="86">
        <v>5</v>
      </c>
      <c r="X577" s="89"/>
      <c r="Y577" s="661" t="s">
        <v>1374</v>
      </c>
    </row>
    <row r="578" spans="2:25" ht="25.5" x14ac:dyDescent="0.25">
      <c r="B578" s="1944"/>
      <c r="C578" s="109"/>
      <c r="D578" s="109"/>
      <c r="E578" s="109"/>
      <c r="F578" s="79"/>
      <c r="G578" s="78"/>
      <c r="H578" s="80" t="s">
        <v>2849</v>
      </c>
      <c r="I578" s="81" t="s">
        <v>103</v>
      </c>
      <c r="J578" s="93">
        <v>0</v>
      </c>
      <c r="K578" s="93">
        <v>0</v>
      </c>
      <c r="L578" s="88"/>
      <c r="M578" s="130">
        <v>1</v>
      </c>
      <c r="N578" s="88"/>
      <c r="O578" s="84">
        <v>1</v>
      </c>
      <c r="P578" s="88"/>
      <c r="Q578" s="84">
        <v>1</v>
      </c>
      <c r="R578" s="88"/>
      <c r="S578" s="84">
        <v>1</v>
      </c>
      <c r="T578" s="88"/>
      <c r="U578" s="84">
        <v>1</v>
      </c>
      <c r="V578" s="88"/>
      <c r="W578" s="86">
        <v>5</v>
      </c>
      <c r="X578" s="89"/>
      <c r="Y578" s="661" t="s">
        <v>1374</v>
      </c>
    </row>
    <row r="579" spans="2:25" ht="25.5" x14ac:dyDescent="0.25">
      <c r="B579" s="1944"/>
      <c r="C579" s="109"/>
      <c r="D579" s="109"/>
      <c r="E579" s="109"/>
      <c r="F579" s="79"/>
      <c r="G579" s="78"/>
      <c r="H579" s="80" t="s">
        <v>2850</v>
      </c>
      <c r="I579" s="81" t="s">
        <v>103</v>
      </c>
      <c r="J579" s="93">
        <v>0</v>
      </c>
      <c r="K579" s="93">
        <v>0</v>
      </c>
      <c r="L579" s="88"/>
      <c r="M579" s="130">
        <v>1</v>
      </c>
      <c r="N579" s="88"/>
      <c r="O579" s="84">
        <v>1</v>
      </c>
      <c r="P579" s="88"/>
      <c r="Q579" s="84">
        <v>1</v>
      </c>
      <c r="R579" s="88"/>
      <c r="S579" s="84">
        <v>1</v>
      </c>
      <c r="T579" s="88"/>
      <c r="U579" s="84">
        <v>1</v>
      </c>
      <c r="V579" s="88"/>
      <c r="W579" s="86">
        <v>5</v>
      </c>
      <c r="X579" s="89"/>
      <c r="Y579" s="661" t="s">
        <v>1374</v>
      </c>
    </row>
    <row r="580" spans="2:25" ht="25.5" x14ac:dyDescent="0.25">
      <c r="B580" s="1944"/>
      <c r="C580" s="109"/>
      <c r="D580" s="109"/>
      <c r="E580" s="109"/>
      <c r="F580" s="79"/>
      <c r="G580" s="78"/>
      <c r="H580" s="80" t="s">
        <v>2851</v>
      </c>
      <c r="I580" s="81" t="s">
        <v>103</v>
      </c>
      <c r="J580" s="93">
        <v>0</v>
      </c>
      <c r="K580" s="93">
        <v>0</v>
      </c>
      <c r="L580" s="88"/>
      <c r="M580" s="130">
        <v>1</v>
      </c>
      <c r="N580" s="88"/>
      <c r="O580" s="84">
        <v>1</v>
      </c>
      <c r="P580" s="88"/>
      <c r="Q580" s="84">
        <v>1</v>
      </c>
      <c r="R580" s="88"/>
      <c r="S580" s="84">
        <v>1</v>
      </c>
      <c r="T580" s="88"/>
      <c r="U580" s="84">
        <v>1</v>
      </c>
      <c r="V580" s="88"/>
      <c r="W580" s="86">
        <v>5</v>
      </c>
      <c r="X580" s="89"/>
      <c r="Y580" s="661" t="s">
        <v>1374</v>
      </c>
    </row>
    <row r="581" spans="2:25" ht="38.25" x14ac:dyDescent="0.25">
      <c r="B581" s="1944"/>
      <c r="C581" s="109"/>
      <c r="D581" s="109"/>
      <c r="E581" s="109"/>
      <c r="F581" s="79"/>
      <c r="G581" s="78"/>
      <c r="H581" s="80" t="s">
        <v>2852</v>
      </c>
      <c r="I581" s="81" t="s">
        <v>103</v>
      </c>
      <c r="J581" s="93">
        <v>0</v>
      </c>
      <c r="K581" s="93">
        <v>0</v>
      </c>
      <c r="L581" s="88"/>
      <c r="M581" s="130">
        <v>1</v>
      </c>
      <c r="N581" s="88"/>
      <c r="O581" s="84">
        <v>1</v>
      </c>
      <c r="P581" s="88"/>
      <c r="Q581" s="84">
        <v>1</v>
      </c>
      <c r="R581" s="88"/>
      <c r="S581" s="84">
        <v>1</v>
      </c>
      <c r="T581" s="88"/>
      <c r="U581" s="84">
        <v>1</v>
      </c>
      <c r="V581" s="88"/>
      <c r="W581" s="86">
        <v>5</v>
      </c>
      <c r="X581" s="89"/>
      <c r="Y581" s="661" t="s">
        <v>1374</v>
      </c>
    </row>
    <row r="582" spans="2:25" x14ac:dyDescent="0.25">
      <c r="B582" s="1944"/>
      <c r="C582" s="109"/>
      <c r="D582" s="109"/>
      <c r="E582" s="109"/>
      <c r="F582" s="79"/>
      <c r="G582" s="78"/>
      <c r="H582" s="80" t="s">
        <v>2853</v>
      </c>
      <c r="I582" s="81" t="s">
        <v>103</v>
      </c>
      <c r="J582" s="93">
        <v>0</v>
      </c>
      <c r="K582" s="93">
        <v>0</v>
      </c>
      <c r="L582" s="88"/>
      <c r="M582" s="130">
        <v>1</v>
      </c>
      <c r="N582" s="88"/>
      <c r="O582" s="84">
        <v>1</v>
      </c>
      <c r="P582" s="88"/>
      <c r="Q582" s="84">
        <v>1</v>
      </c>
      <c r="R582" s="88"/>
      <c r="S582" s="84">
        <v>1</v>
      </c>
      <c r="T582" s="88"/>
      <c r="U582" s="84">
        <v>1</v>
      </c>
      <c r="V582" s="88"/>
      <c r="W582" s="86">
        <v>5</v>
      </c>
      <c r="X582" s="89"/>
      <c r="Y582" s="661" t="s">
        <v>1374</v>
      </c>
    </row>
    <row r="583" spans="2:25" ht="25.5" x14ac:dyDescent="0.25">
      <c r="B583" s="1944"/>
      <c r="C583" s="109"/>
      <c r="D583" s="109"/>
      <c r="E583" s="109"/>
      <c r="F583" s="79"/>
      <c r="G583" s="78"/>
      <c r="H583" s="80" t="s">
        <v>2854</v>
      </c>
      <c r="I583" s="81" t="s">
        <v>69</v>
      </c>
      <c r="J583" s="93">
        <v>94</v>
      </c>
      <c r="K583" s="82">
        <v>1</v>
      </c>
      <c r="L583" s="88"/>
      <c r="M583" s="84">
        <v>1</v>
      </c>
      <c r="N583" s="88"/>
      <c r="O583" s="84">
        <v>10</v>
      </c>
      <c r="P583" s="88"/>
      <c r="Q583" s="84">
        <v>10</v>
      </c>
      <c r="R583" s="88"/>
      <c r="S583" s="84">
        <v>10</v>
      </c>
      <c r="T583" s="88"/>
      <c r="U583" s="84">
        <v>10</v>
      </c>
      <c r="V583" s="88"/>
      <c r="W583" s="86">
        <v>42</v>
      </c>
      <c r="X583" s="89"/>
      <c r="Y583" s="661" t="s">
        <v>1374</v>
      </c>
    </row>
    <row r="584" spans="2:25" ht="25.5" x14ac:dyDescent="0.25">
      <c r="B584" s="1944"/>
      <c r="C584" s="109"/>
      <c r="D584" s="109"/>
      <c r="E584" s="109"/>
      <c r="F584" s="79"/>
      <c r="G584" s="78"/>
      <c r="H584" s="80" t="s">
        <v>2855</v>
      </c>
      <c r="I584" s="81" t="s">
        <v>69</v>
      </c>
      <c r="J584" s="93">
        <v>0</v>
      </c>
      <c r="K584" s="82">
        <v>0</v>
      </c>
      <c r="L584" s="88"/>
      <c r="M584" s="84">
        <v>4</v>
      </c>
      <c r="N584" s="88"/>
      <c r="O584" s="84">
        <v>2</v>
      </c>
      <c r="P584" s="88"/>
      <c r="Q584" s="84">
        <v>2</v>
      </c>
      <c r="R584" s="88"/>
      <c r="S584" s="84">
        <v>2</v>
      </c>
      <c r="T584" s="88"/>
      <c r="U584" s="84">
        <v>2</v>
      </c>
      <c r="V584" s="88"/>
      <c r="W584" s="86">
        <v>12</v>
      </c>
      <c r="X584" s="89"/>
      <c r="Y584" s="661" t="s">
        <v>1374</v>
      </c>
    </row>
    <row r="585" spans="2:25" ht="25.5" x14ac:dyDescent="0.25">
      <c r="B585" s="1944"/>
      <c r="C585" s="109"/>
      <c r="D585" s="109"/>
      <c r="E585" s="109"/>
      <c r="F585" s="79"/>
      <c r="G585" s="78"/>
      <c r="H585" s="80" t="s">
        <v>2773</v>
      </c>
      <c r="I585" s="81" t="s">
        <v>103</v>
      </c>
      <c r="J585" s="93">
        <v>0</v>
      </c>
      <c r="K585" s="82">
        <v>0</v>
      </c>
      <c r="L585" s="88"/>
      <c r="M585" s="84">
        <v>1</v>
      </c>
      <c r="N585" s="88"/>
      <c r="O585" s="84">
        <v>1</v>
      </c>
      <c r="P585" s="88"/>
      <c r="Q585" s="84">
        <v>1</v>
      </c>
      <c r="R585" s="88"/>
      <c r="S585" s="84">
        <v>1</v>
      </c>
      <c r="T585" s="88"/>
      <c r="U585" s="84">
        <v>1</v>
      </c>
      <c r="V585" s="88"/>
      <c r="W585" s="134">
        <v>5</v>
      </c>
      <c r="X585" s="89"/>
      <c r="Y585" s="661" t="s">
        <v>1374</v>
      </c>
    </row>
    <row r="586" spans="2:25" x14ac:dyDescent="0.25">
      <c r="B586" s="1944"/>
      <c r="C586" s="109"/>
      <c r="D586" s="109"/>
      <c r="E586" s="109"/>
      <c r="F586" s="79"/>
      <c r="G586" s="97"/>
      <c r="H586" s="80"/>
      <c r="I586" s="81"/>
      <c r="J586" s="93"/>
      <c r="K586" s="93"/>
      <c r="L586" s="88"/>
      <c r="M586" s="130"/>
      <c r="N586" s="91"/>
      <c r="O586" s="84"/>
      <c r="P586" s="91"/>
      <c r="Q586" s="84"/>
      <c r="R586" s="91"/>
      <c r="S586" s="84"/>
      <c r="T586" s="91"/>
      <c r="U586" s="84"/>
      <c r="V586" s="91"/>
      <c r="W586" s="134"/>
      <c r="X586" s="92"/>
      <c r="Y586" s="661" t="s">
        <v>1374</v>
      </c>
    </row>
    <row r="587" spans="2:25" ht="60" x14ac:dyDescent="0.25">
      <c r="B587" s="1944"/>
      <c r="C587" s="109"/>
      <c r="D587" s="109"/>
      <c r="E587" s="109"/>
      <c r="F587" s="79"/>
      <c r="G587" s="124" t="s">
        <v>1486</v>
      </c>
      <c r="H587" s="125" t="s">
        <v>1487</v>
      </c>
      <c r="I587" s="135" t="s">
        <v>275</v>
      </c>
      <c r="J587" s="136"/>
      <c r="K587" s="136">
        <v>2</v>
      </c>
      <c r="L587" s="137">
        <f>SUM(L588:L592)</f>
        <v>75000</v>
      </c>
      <c r="M587" s="125">
        <v>3</v>
      </c>
      <c r="N587" s="137">
        <f>SUM(N588:N592)</f>
        <v>250000</v>
      </c>
      <c r="O587" s="125">
        <v>3</v>
      </c>
      <c r="P587" s="137">
        <f>SUM(P588:P592)</f>
        <v>275000</v>
      </c>
      <c r="Q587" s="125">
        <v>3</v>
      </c>
      <c r="R587" s="137">
        <f>SUM(R588:R592)</f>
        <v>302500</v>
      </c>
      <c r="S587" s="125">
        <v>3</v>
      </c>
      <c r="T587" s="137">
        <f>SUM(T588:T592)</f>
        <v>332750</v>
      </c>
      <c r="U587" s="125">
        <v>3</v>
      </c>
      <c r="V587" s="137">
        <f>SUM(V588:V592)</f>
        <v>366025</v>
      </c>
      <c r="W587" s="129">
        <v>17</v>
      </c>
      <c r="X587" s="138"/>
      <c r="Y587" s="661" t="s">
        <v>1374</v>
      </c>
    </row>
    <row r="588" spans="2:25" ht="51" x14ac:dyDescent="0.25">
      <c r="B588" s="1944"/>
      <c r="C588" s="109"/>
      <c r="D588" s="109"/>
      <c r="E588" s="109"/>
      <c r="F588" s="79"/>
      <c r="G588" s="1941" t="s">
        <v>2856</v>
      </c>
      <c r="H588" s="80" t="s">
        <v>2857</v>
      </c>
      <c r="I588" s="81" t="s">
        <v>79</v>
      </c>
      <c r="J588" s="93"/>
      <c r="K588" s="93">
        <v>1</v>
      </c>
      <c r="L588" s="83">
        <v>75000</v>
      </c>
      <c r="M588" s="80">
        <v>1</v>
      </c>
      <c r="N588" s="83">
        <v>50000</v>
      </c>
      <c r="O588" s="80">
        <v>1</v>
      </c>
      <c r="P588" s="96">
        <v>55000</v>
      </c>
      <c r="Q588" s="80">
        <v>1</v>
      </c>
      <c r="R588" s="96">
        <v>60500</v>
      </c>
      <c r="S588" s="80">
        <v>1</v>
      </c>
      <c r="T588" s="96">
        <v>66550</v>
      </c>
      <c r="U588" s="80">
        <v>1</v>
      </c>
      <c r="V588" s="96">
        <v>73205</v>
      </c>
      <c r="W588" s="86">
        <v>6</v>
      </c>
      <c r="X588" s="87"/>
      <c r="Y588" s="661" t="s">
        <v>1374</v>
      </c>
    </row>
    <row r="589" spans="2:25" ht="25.5" x14ac:dyDescent="0.25">
      <c r="B589" s="1944"/>
      <c r="C589" s="109"/>
      <c r="D589" s="109"/>
      <c r="E589" s="109"/>
      <c r="F589" s="79"/>
      <c r="G589" s="1942"/>
      <c r="H589" s="80" t="s">
        <v>2858</v>
      </c>
      <c r="I589" s="81" t="s">
        <v>1413</v>
      </c>
      <c r="J589" s="93"/>
      <c r="K589" s="93">
        <v>1</v>
      </c>
      <c r="L589" s="88"/>
      <c r="M589" s="80">
        <v>1</v>
      </c>
      <c r="N589" s="88"/>
      <c r="O589" s="80">
        <v>1</v>
      </c>
      <c r="P589" s="88"/>
      <c r="Q589" s="80">
        <v>1</v>
      </c>
      <c r="R589" s="88"/>
      <c r="S589" s="80">
        <v>1</v>
      </c>
      <c r="T589" s="88"/>
      <c r="U589" s="80">
        <v>1</v>
      </c>
      <c r="V589" s="88"/>
      <c r="W589" s="86">
        <v>6</v>
      </c>
      <c r="X589" s="89"/>
      <c r="Y589" s="661" t="s">
        <v>1374</v>
      </c>
    </row>
    <row r="590" spans="2:25" ht="38.25" x14ac:dyDescent="0.25">
      <c r="B590" s="1944"/>
      <c r="C590" s="109"/>
      <c r="D590" s="109"/>
      <c r="E590" s="109"/>
      <c r="F590" s="79"/>
      <c r="G590" s="1942"/>
      <c r="H590" s="80" t="s">
        <v>2859</v>
      </c>
      <c r="I590" s="81" t="s">
        <v>100</v>
      </c>
      <c r="J590" s="93"/>
      <c r="K590" s="93">
        <v>0</v>
      </c>
      <c r="L590" s="88"/>
      <c r="M590" s="80">
        <v>0</v>
      </c>
      <c r="N590" s="88"/>
      <c r="O590" s="103">
        <v>10</v>
      </c>
      <c r="P590" s="88"/>
      <c r="Q590" s="103">
        <v>10</v>
      </c>
      <c r="R590" s="88"/>
      <c r="S590" s="103">
        <v>10</v>
      </c>
      <c r="T590" s="88"/>
      <c r="U590" s="103">
        <v>10</v>
      </c>
      <c r="V590" s="88"/>
      <c r="W590" s="86">
        <v>40</v>
      </c>
      <c r="X590" s="89"/>
      <c r="Y590" s="661" t="s">
        <v>1374</v>
      </c>
    </row>
    <row r="591" spans="2:25" ht="38.25" x14ac:dyDescent="0.25">
      <c r="B591" s="1944"/>
      <c r="C591" s="109"/>
      <c r="D591" s="109"/>
      <c r="E591" s="109"/>
      <c r="F591" s="78"/>
      <c r="G591" s="97"/>
      <c r="H591" s="103" t="s">
        <v>2860</v>
      </c>
      <c r="I591" s="104" t="s">
        <v>106</v>
      </c>
      <c r="J591" s="105"/>
      <c r="K591" s="139">
        <v>0</v>
      </c>
      <c r="L591" s="91"/>
      <c r="M591" s="140">
        <v>10</v>
      </c>
      <c r="N591" s="91"/>
      <c r="O591" s="103">
        <v>10</v>
      </c>
      <c r="P591" s="91"/>
      <c r="Q591" s="103">
        <v>10</v>
      </c>
      <c r="R591" s="91"/>
      <c r="S591" s="103">
        <v>10</v>
      </c>
      <c r="T591" s="91"/>
      <c r="U591" s="103">
        <v>10</v>
      </c>
      <c r="V591" s="91"/>
      <c r="W591" s="86">
        <v>50</v>
      </c>
      <c r="X591" s="92"/>
      <c r="Y591" s="661" t="s">
        <v>1374</v>
      </c>
    </row>
    <row r="592" spans="2:25" ht="38.25" x14ac:dyDescent="0.25">
      <c r="B592" s="1945"/>
      <c r="C592" s="131"/>
      <c r="D592" s="131"/>
      <c r="E592" s="131"/>
      <c r="F592" s="97"/>
      <c r="G592" s="76" t="s">
        <v>2861</v>
      </c>
      <c r="H592" s="103" t="s">
        <v>2862</v>
      </c>
      <c r="I592" s="104" t="s">
        <v>1413</v>
      </c>
      <c r="J592" s="105">
        <v>0</v>
      </c>
      <c r="K592" s="139">
        <v>0</v>
      </c>
      <c r="L592" s="93">
        <v>0</v>
      </c>
      <c r="M592" s="141">
        <v>1</v>
      </c>
      <c r="N592" s="94">
        <v>200000</v>
      </c>
      <c r="O592" s="141">
        <v>1</v>
      </c>
      <c r="P592" s="96">
        <v>220000</v>
      </c>
      <c r="Q592" s="141">
        <v>1</v>
      </c>
      <c r="R592" s="96">
        <v>242000</v>
      </c>
      <c r="S592" s="141">
        <v>1</v>
      </c>
      <c r="T592" s="96">
        <v>266200</v>
      </c>
      <c r="U592" s="140">
        <v>1</v>
      </c>
      <c r="V592" s="96">
        <v>292820</v>
      </c>
      <c r="W592" s="86">
        <v>5</v>
      </c>
      <c r="X592" s="87"/>
      <c r="Y592" s="661" t="s">
        <v>1374</v>
      </c>
    </row>
    <row r="593" spans="2:25" x14ac:dyDescent="0.25">
      <c r="B593" s="77"/>
      <c r="C593" s="78"/>
      <c r="D593" s="78"/>
      <c r="E593" s="174"/>
      <c r="F593" s="78"/>
      <c r="G593" s="76"/>
      <c r="H593" s="103"/>
      <c r="I593" s="104"/>
      <c r="J593" s="105"/>
      <c r="K593" s="139"/>
      <c r="L593" s="93"/>
      <c r="M593" s="141"/>
      <c r="N593" s="94"/>
      <c r="O593" s="141"/>
      <c r="P593" s="96"/>
      <c r="Q593" s="141"/>
      <c r="R593" s="96"/>
      <c r="S593" s="141"/>
      <c r="T593" s="96"/>
      <c r="U593" s="140"/>
      <c r="V593" s="96"/>
      <c r="W593" s="86"/>
      <c r="X593" s="87"/>
      <c r="Y593" s="661" t="s">
        <v>1374</v>
      </c>
    </row>
    <row r="594" spans="2:25" ht="60" customHeight="1" x14ac:dyDescent="0.25">
      <c r="B594" s="1943" t="s">
        <v>33</v>
      </c>
      <c r="C594" s="1946" t="s">
        <v>34</v>
      </c>
      <c r="D594" s="1946" t="s">
        <v>3831</v>
      </c>
      <c r="E594" s="1792" t="s">
        <v>3992</v>
      </c>
      <c r="F594" s="1946" t="s">
        <v>3913</v>
      </c>
      <c r="G594" s="38" t="s">
        <v>3133</v>
      </c>
      <c r="H594" s="123" t="s">
        <v>35</v>
      </c>
      <c r="I594" s="135" t="s">
        <v>19</v>
      </c>
      <c r="J594" s="428">
        <v>90</v>
      </c>
      <c r="K594" s="142">
        <v>91</v>
      </c>
      <c r="L594" s="429"/>
      <c r="M594" s="142">
        <v>92</v>
      </c>
      <c r="N594" s="429"/>
      <c r="O594" s="142">
        <v>93</v>
      </c>
      <c r="P594" s="429"/>
      <c r="Q594" s="142">
        <v>94</v>
      </c>
      <c r="R594" s="429"/>
      <c r="S594" s="142">
        <v>95</v>
      </c>
      <c r="T594" s="429"/>
      <c r="U594" s="142">
        <v>96</v>
      </c>
      <c r="V594" s="429"/>
      <c r="W594" s="142">
        <v>96</v>
      </c>
      <c r="X594" s="430"/>
      <c r="Y594" s="661" t="s">
        <v>1374</v>
      </c>
    </row>
    <row r="595" spans="2:25" s="246" customFormat="1" ht="72" x14ac:dyDescent="0.2">
      <c r="B595" s="1944"/>
      <c r="C595" s="1947"/>
      <c r="D595" s="1947"/>
      <c r="E595" s="1793"/>
      <c r="F595" s="1947"/>
      <c r="G595" s="124" t="s">
        <v>36</v>
      </c>
      <c r="H595" s="124" t="s">
        <v>386</v>
      </c>
      <c r="I595" s="135" t="s">
        <v>19</v>
      </c>
      <c r="J595" s="428">
        <v>100</v>
      </c>
      <c r="K595" s="142">
        <v>20</v>
      </c>
      <c r="L595" s="129">
        <f>SUM(L596:L609)</f>
        <v>870013</v>
      </c>
      <c r="M595" s="142">
        <v>20</v>
      </c>
      <c r="N595" s="129">
        <f>SUM(N596:N609)</f>
        <v>963485</v>
      </c>
      <c r="O595" s="142">
        <v>15</v>
      </c>
      <c r="P595" s="129">
        <f>SUM(P596:P609)</f>
        <v>1059833.5</v>
      </c>
      <c r="Q595" s="142">
        <v>15</v>
      </c>
      <c r="R595" s="129">
        <f>SUM(R596:R609)</f>
        <v>1165816.8500000001</v>
      </c>
      <c r="S595" s="142">
        <v>15</v>
      </c>
      <c r="T595" s="129">
        <f>SUM(T596:T609)</f>
        <v>1282398.5350000001</v>
      </c>
      <c r="U595" s="142">
        <v>15</v>
      </c>
      <c r="V595" s="129">
        <f>SUM(V596:V609)</f>
        <v>1410638.3885000001</v>
      </c>
      <c r="W595" s="129">
        <v>100</v>
      </c>
      <c r="X595" s="143"/>
      <c r="Y595" s="661" t="s">
        <v>1374</v>
      </c>
    </row>
    <row r="596" spans="2:25" ht="51" x14ac:dyDescent="0.25">
      <c r="B596" s="1944"/>
      <c r="C596" s="109"/>
      <c r="D596" s="109"/>
      <c r="E596" s="109"/>
      <c r="F596" s="109"/>
      <c r="G596" s="98" t="s">
        <v>124</v>
      </c>
      <c r="H596" s="98" t="s">
        <v>2863</v>
      </c>
      <c r="I596" s="81" t="s">
        <v>40</v>
      </c>
      <c r="J596" s="93"/>
      <c r="K596" s="93">
        <v>12</v>
      </c>
      <c r="L596" s="96">
        <v>2000</v>
      </c>
      <c r="M596" s="93">
        <v>12</v>
      </c>
      <c r="N596" s="96">
        <v>2500</v>
      </c>
      <c r="O596" s="93">
        <v>12</v>
      </c>
      <c r="P596" s="96">
        <v>2750</v>
      </c>
      <c r="Q596" s="93">
        <v>12</v>
      </c>
      <c r="R596" s="96">
        <v>3025</v>
      </c>
      <c r="S596" s="93">
        <v>12</v>
      </c>
      <c r="T596" s="96">
        <v>3327.5</v>
      </c>
      <c r="U596" s="93">
        <v>12</v>
      </c>
      <c r="V596" s="96">
        <v>3660.25</v>
      </c>
      <c r="W596" s="86"/>
      <c r="X596" s="87"/>
      <c r="Y596" s="661" t="s">
        <v>1374</v>
      </c>
    </row>
    <row r="597" spans="2:25" ht="51" x14ac:dyDescent="0.25">
      <c r="B597" s="1944"/>
      <c r="C597" s="109"/>
      <c r="D597" s="109"/>
      <c r="E597" s="109"/>
      <c r="F597" s="109"/>
      <c r="G597" s="98" t="s">
        <v>126</v>
      </c>
      <c r="H597" s="98" t="s">
        <v>2864</v>
      </c>
      <c r="I597" s="81" t="s">
        <v>40</v>
      </c>
      <c r="J597" s="93"/>
      <c r="K597" s="93">
        <v>12</v>
      </c>
      <c r="L597" s="96">
        <v>149296</v>
      </c>
      <c r="M597" s="93">
        <v>12</v>
      </c>
      <c r="N597" s="96">
        <v>140000</v>
      </c>
      <c r="O597" s="93">
        <v>12</v>
      </c>
      <c r="P597" s="96">
        <v>154000</v>
      </c>
      <c r="Q597" s="93">
        <v>12</v>
      </c>
      <c r="R597" s="96">
        <v>169400</v>
      </c>
      <c r="S597" s="93">
        <v>12</v>
      </c>
      <c r="T597" s="96">
        <v>186340</v>
      </c>
      <c r="U597" s="93">
        <v>12</v>
      </c>
      <c r="V597" s="96">
        <v>204974</v>
      </c>
      <c r="W597" s="86"/>
      <c r="X597" s="87"/>
      <c r="Y597" s="661" t="s">
        <v>1374</v>
      </c>
    </row>
    <row r="598" spans="2:25" ht="89.25" x14ac:dyDescent="0.25">
      <c r="B598" s="1944"/>
      <c r="C598" s="109"/>
      <c r="D598" s="109"/>
      <c r="E598" s="109"/>
      <c r="F598" s="109"/>
      <c r="G598" s="98" t="s">
        <v>43</v>
      </c>
      <c r="H598" s="98" t="s">
        <v>2865</v>
      </c>
      <c r="I598" s="81" t="s">
        <v>40</v>
      </c>
      <c r="J598" s="93"/>
      <c r="K598" s="93">
        <v>12</v>
      </c>
      <c r="L598" s="96">
        <v>135000</v>
      </c>
      <c r="M598" s="93">
        <v>12</v>
      </c>
      <c r="N598" s="96">
        <v>125000</v>
      </c>
      <c r="O598" s="93">
        <v>12</v>
      </c>
      <c r="P598" s="96">
        <v>137500</v>
      </c>
      <c r="Q598" s="93">
        <v>12</v>
      </c>
      <c r="R598" s="96">
        <v>151250</v>
      </c>
      <c r="S598" s="93">
        <v>12</v>
      </c>
      <c r="T598" s="96">
        <v>166375</v>
      </c>
      <c r="U598" s="93">
        <v>12</v>
      </c>
      <c r="V598" s="96">
        <v>183012.5</v>
      </c>
      <c r="W598" s="86"/>
      <c r="X598" s="87"/>
      <c r="Y598" s="661" t="s">
        <v>1374</v>
      </c>
    </row>
    <row r="599" spans="2:25" ht="51" x14ac:dyDescent="0.25">
      <c r="B599" s="1944"/>
      <c r="C599" s="109"/>
      <c r="D599" s="109"/>
      <c r="E599" s="109"/>
      <c r="F599" s="109"/>
      <c r="G599" s="98" t="s">
        <v>45</v>
      </c>
      <c r="H599" s="98" t="s">
        <v>2866</v>
      </c>
      <c r="I599" s="81" t="s">
        <v>100</v>
      </c>
      <c r="J599" s="93"/>
      <c r="K599" s="93">
        <v>12</v>
      </c>
      <c r="L599" s="96">
        <v>56117</v>
      </c>
      <c r="M599" s="93">
        <v>12</v>
      </c>
      <c r="N599" s="96">
        <v>70000</v>
      </c>
      <c r="O599" s="93">
        <v>12</v>
      </c>
      <c r="P599" s="96">
        <v>77000</v>
      </c>
      <c r="Q599" s="93">
        <v>12</v>
      </c>
      <c r="R599" s="96">
        <v>84700</v>
      </c>
      <c r="S599" s="93">
        <v>12</v>
      </c>
      <c r="T599" s="96">
        <v>93170</v>
      </c>
      <c r="U599" s="93">
        <v>12</v>
      </c>
      <c r="V599" s="96">
        <v>102487</v>
      </c>
      <c r="W599" s="86"/>
      <c r="X599" s="87"/>
      <c r="Y599" s="661" t="s">
        <v>1374</v>
      </c>
    </row>
    <row r="600" spans="2:25" ht="76.5" x14ac:dyDescent="0.25">
      <c r="B600" s="1944"/>
      <c r="C600" s="109"/>
      <c r="D600" s="109"/>
      <c r="E600" s="109"/>
      <c r="F600" s="109"/>
      <c r="G600" s="98" t="s">
        <v>47</v>
      </c>
      <c r="H600" s="98" t="s">
        <v>2867</v>
      </c>
      <c r="I600" s="81" t="s">
        <v>40</v>
      </c>
      <c r="J600" s="93"/>
      <c r="K600" s="93">
        <v>12</v>
      </c>
      <c r="L600" s="96">
        <v>25000</v>
      </c>
      <c r="M600" s="93">
        <v>12</v>
      </c>
      <c r="N600" s="96">
        <v>40000</v>
      </c>
      <c r="O600" s="93">
        <v>12</v>
      </c>
      <c r="P600" s="96">
        <v>44000</v>
      </c>
      <c r="Q600" s="93">
        <v>12</v>
      </c>
      <c r="R600" s="96">
        <v>48400</v>
      </c>
      <c r="S600" s="93">
        <v>12</v>
      </c>
      <c r="T600" s="96">
        <v>53240</v>
      </c>
      <c r="U600" s="93">
        <v>12</v>
      </c>
      <c r="V600" s="96">
        <v>58564</v>
      </c>
      <c r="W600" s="86"/>
      <c r="X600" s="87"/>
      <c r="Y600" s="661" t="s">
        <v>1374</v>
      </c>
    </row>
    <row r="601" spans="2:25" ht="76.5" x14ac:dyDescent="0.25">
      <c r="B601" s="1944"/>
      <c r="C601" s="109"/>
      <c r="D601" s="109"/>
      <c r="E601" s="109"/>
      <c r="F601" s="109"/>
      <c r="G601" s="98" t="s">
        <v>130</v>
      </c>
      <c r="H601" s="98" t="s">
        <v>2868</v>
      </c>
      <c r="I601" s="81" t="s">
        <v>40</v>
      </c>
      <c r="J601" s="93"/>
      <c r="K601" s="93">
        <v>12</v>
      </c>
      <c r="L601" s="96">
        <v>35000</v>
      </c>
      <c r="M601" s="93">
        <v>12</v>
      </c>
      <c r="N601" s="96">
        <v>30000</v>
      </c>
      <c r="O601" s="93">
        <v>12</v>
      </c>
      <c r="P601" s="96">
        <v>33000</v>
      </c>
      <c r="Q601" s="93">
        <v>12</v>
      </c>
      <c r="R601" s="96">
        <v>36300</v>
      </c>
      <c r="S601" s="93">
        <v>12</v>
      </c>
      <c r="T601" s="96">
        <v>39930</v>
      </c>
      <c r="U601" s="93">
        <v>12</v>
      </c>
      <c r="V601" s="96">
        <v>43923</v>
      </c>
      <c r="W601" s="86"/>
      <c r="X601" s="87"/>
      <c r="Y601" s="661" t="s">
        <v>1374</v>
      </c>
    </row>
    <row r="602" spans="2:25" ht="51" x14ac:dyDescent="0.25">
      <c r="B602" s="1944"/>
      <c r="C602" s="109"/>
      <c r="D602" s="109"/>
      <c r="E602" s="109"/>
      <c r="F602" s="109"/>
      <c r="G602" s="98" t="s">
        <v>50</v>
      </c>
      <c r="H602" s="98" t="s">
        <v>2869</v>
      </c>
      <c r="I602" s="81" t="s">
        <v>40</v>
      </c>
      <c r="J602" s="93"/>
      <c r="K602" s="93">
        <v>12</v>
      </c>
      <c r="L602" s="96">
        <v>35000</v>
      </c>
      <c r="M602" s="93">
        <v>12</v>
      </c>
      <c r="N602" s="96">
        <v>50000</v>
      </c>
      <c r="O602" s="93">
        <v>12</v>
      </c>
      <c r="P602" s="96">
        <v>55000</v>
      </c>
      <c r="Q602" s="93">
        <v>12</v>
      </c>
      <c r="R602" s="96">
        <v>60500</v>
      </c>
      <c r="S602" s="93">
        <v>12</v>
      </c>
      <c r="T602" s="96">
        <v>66550</v>
      </c>
      <c r="U602" s="93">
        <v>12</v>
      </c>
      <c r="V602" s="96">
        <v>73205</v>
      </c>
      <c r="W602" s="86"/>
      <c r="X602" s="87"/>
      <c r="Y602" s="661" t="s">
        <v>1374</v>
      </c>
    </row>
    <row r="603" spans="2:25" ht="89.25" x14ac:dyDescent="0.25">
      <c r="B603" s="1944"/>
      <c r="C603" s="109"/>
      <c r="D603" s="109"/>
      <c r="E603" s="109"/>
      <c r="F603" s="109"/>
      <c r="G603" s="98" t="s">
        <v>52</v>
      </c>
      <c r="H603" s="98" t="s">
        <v>2870</v>
      </c>
      <c r="I603" s="81" t="s">
        <v>40</v>
      </c>
      <c r="J603" s="93"/>
      <c r="K603" s="93">
        <v>12</v>
      </c>
      <c r="L603" s="96">
        <v>100000</v>
      </c>
      <c r="M603" s="93">
        <v>12</v>
      </c>
      <c r="N603" s="96">
        <v>120000</v>
      </c>
      <c r="O603" s="93">
        <v>12</v>
      </c>
      <c r="P603" s="96">
        <v>132000</v>
      </c>
      <c r="Q603" s="93">
        <v>12</v>
      </c>
      <c r="R603" s="96">
        <v>145200</v>
      </c>
      <c r="S603" s="93">
        <v>12</v>
      </c>
      <c r="T603" s="96">
        <v>159720</v>
      </c>
      <c r="U603" s="93">
        <v>12</v>
      </c>
      <c r="V603" s="96">
        <v>175692</v>
      </c>
      <c r="W603" s="86"/>
      <c r="X603" s="87"/>
      <c r="Y603" s="661" t="s">
        <v>1374</v>
      </c>
    </row>
    <row r="604" spans="2:25" ht="89.25" x14ac:dyDescent="0.25">
      <c r="B604" s="1944"/>
      <c r="C604" s="109"/>
      <c r="D604" s="109"/>
      <c r="E604" s="109"/>
      <c r="F604" s="109"/>
      <c r="G604" s="98" t="s">
        <v>54</v>
      </c>
      <c r="H604" s="98" t="s">
        <v>2871</v>
      </c>
      <c r="I604" s="81" t="s">
        <v>40</v>
      </c>
      <c r="J604" s="93"/>
      <c r="K604" s="93">
        <v>12</v>
      </c>
      <c r="L604" s="96">
        <v>30000</v>
      </c>
      <c r="M604" s="93">
        <v>12</v>
      </c>
      <c r="N604" s="96">
        <v>55000</v>
      </c>
      <c r="O604" s="93">
        <v>12</v>
      </c>
      <c r="P604" s="96">
        <v>60500</v>
      </c>
      <c r="Q604" s="93">
        <v>12</v>
      </c>
      <c r="R604" s="96">
        <v>66550</v>
      </c>
      <c r="S604" s="93">
        <v>12</v>
      </c>
      <c r="T604" s="96">
        <v>73205</v>
      </c>
      <c r="U604" s="93">
        <v>12</v>
      </c>
      <c r="V604" s="96">
        <v>80525.5</v>
      </c>
      <c r="W604" s="86"/>
      <c r="X604" s="87"/>
      <c r="Y604" s="661" t="s">
        <v>1374</v>
      </c>
    </row>
    <row r="605" spans="2:25" ht="63.75" x14ac:dyDescent="0.25">
      <c r="B605" s="1944"/>
      <c r="C605" s="109"/>
      <c r="D605" s="109"/>
      <c r="E605" s="109"/>
      <c r="F605" s="109"/>
      <c r="G605" s="98" t="s">
        <v>56</v>
      </c>
      <c r="H605" s="98" t="s">
        <v>2872</v>
      </c>
      <c r="I605" s="81" t="s">
        <v>40</v>
      </c>
      <c r="J605" s="93"/>
      <c r="K605" s="93">
        <v>12</v>
      </c>
      <c r="L605" s="96">
        <v>6000</v>
      </c>
      <c r="M605" s="93">
        <v>12</v>
      </c>
      <c r="N605" s="96">
        <v>6385</v>
      </c>
      <c r="O605" s="93">
        <v>12</v>
      </c>
      <c r="P605" s="96">
        <v>7023.5</v>
      </c>
      <c r="Q605" s="93">
        <v>12</v>
      </c>
      <c r="R605" s="96">
        <v>7725.85</v>
      </c>
      <c r="S605" s="93">
        <v>12</v>
      </c>
      <c r="T605" s="96">
        <v>8498.4350000000013</v>
      </c>
      <c r="U605" s="93">
        <v>12</v>
      </c>
      <c r="V605" s="96">
        <v>9348.2785000000022</v>
      </c>
      <c r="W605" s="86"/>
      <c r="X605" s="87"/>
      <c r="Y605" s="661" t="s">
        <v>1374</v>
      </c>
    </row>
    <row r="606" spans="2:25" ht="63.75" x14ac:dyDescent="0.25">
      <c r="B606" s="1944"/>
      <c r="C606" s="109"/>
      <c r="D606" s="109"/>
      <c r="E606" s="109"/>
      <c r="F606" s="109"/>
      <c r="G606" s="98" t="s">
        <v>58</v>
      </c>
      <c r="H606" s="98" t="s">
        <v>2873</v>
      </c>
      <c r="I606" s="81" t="s">
        <v>40</v>
      </c>
      <c r="J606" s="93"/>
      <c r="K606" s="93">
        <v>12</v>
      </c>
      <c r="L606" s="94">
        <v>52000</v>
      </c>
      <c r="M606" s="93">
        <v>12</v>
      </c>
      <c r="N606" s="94">
        <v>55000</v>
      </c>
      <c r="O606" s="93">
        <v>12</v>
      </c>
      <c r="P606" s="96">
        <v>60500</v>
      </c>
      <c r="Q606" s="93">
        <v>12</v>
      </c>
      <c r="R606" s="96">
        <v>66550</v>
      </c>
      <c r="S606" s="93">
        <v>12</v>
      </c>
      <c r="T606" s="96">
        <v>73205</v>
      </c>
      <c r="U606" s="93">
        <v>12</v>
      </c>
      <c r="V606" s="96">
        <v>80525.5</v>
      </c>
      <c r="W606" s="86"/>
      <c r="X606" s="87"/>
      <c r="Y606" s="661" t="s">
        <v>1374</v>
      </c>
    </row>
    <row r="607" spans="2:25" ht="63.75" x14ac:dyDescent="0.25">
      <c r="B607" s="1944"/>
      <c r="C607" s="109"/>
      <c r="D607" s="109"/>
      <c r="E607" s="109"/>
      <c r="F607" s="109"/>
      <c r="G607" s="98" t="s">
        <v>137</v>
      </c>
      <c r="H607" s="98" t="s">
        <v>2874</v>
      </c>
      <c r="I607" s="81" t="s">
        <v>40</v>
      </c>
      <c r="J607" s="93"/>
      <c r="K607" s="93">
        <v>12</v>
      </c>
      <c r="L607" s="94">
        <v>145000</v>
      </c>
      <c r="M607" s="93">
        <v>12</v>
      </c>
      <c r="N607" s="94">
        <v>160000</v>
      </c>
      <c r="O607" s="93">
        <v>12</v>
      </c>
      <c r="P607" s="96">
        <v>176000</v>
      </c>
      <c r="Q607" s="93">
        <v>12</v>
      </c>
      <c r="R607" s="96">
        <v>193600</v>
      </c>
      <c r="S607" s="93">
        <v>12</v>
      </c>
      <c r="T607" s="96">
        <v>212960</v>
      </c>
      <c r="U607" s="93">
        <v>12</v>
      </c>
      <c r="V607" s="96">
        <v>234256</v>
      </c>
      <c r="W607" s="86"/>
      <c r="X607" s="87"/>
      <c r="Y607" s="661" t="s">
        <v>1374</v>
      </c>
    </row>
    <row r="608" spans="2:25" ht="51" x14ac:dyDescent="0.25">
      <c r="B608" s="1944"/>
      <c r="C608" s="109"/>
      <c r="D608" s="109"/>
      <c r="E608" s="109"/>
      <c r="F608" s="109"/>
      <c r="G608" s="98" t="s">
        <v>62</v>
      </c>
      <c r="H608" s="98" t="s">
        <v>2875</v>
      </c>
      <c r="I608" s="81" t="s">
        <v>100</v>
      </c>
      <c r="J608" s="93"/>
      <c r="K608" s="93">
        <v>3</v>
      </c>
      <c r="L608" s="94">
        <v>39600</v>
      </c>
      <c r="M608" s="93">
        <v>3</v>
      </c>
      <c r="N608" s="94">
        <v>39600</v>
      </c>
      <c r="O608" s="93">
        <v>3</v>
      </c>
      <c r="P608" s="96">
        <v>43560</v>
      </c>
      <c r="Q608" s="93">
        <v>3</v>
      </c>
      <c r="R608" s="96">
        <v>47916</v>
      </c>
      <c r="S608" s="93">
        <v>3</v>
      </c>
      <c r="T608" s="96">
        <v>52707.6</v>
      </c>
      <c r="U608" s="93">
        <v>3</v>
      </c>
      <c r="V608" s="96">
        <v>57978.36</v>
      </c>
      <c r="W608" s="86"/>
      <c r="X608" s="87"/>
      <c r="Y608" s="661" t="s">
        <v>1374</v>
      </c>
    </row>
    <row r="609" spans="2:25" ht="63.75" x14ac:dyDescent="0.25">
      <c r="B609" s="1944"/>
      <c r="C609" s="109"/>
      <c r="D609" s="109"/>
      <c r="E609" s="109"/>
      <c r="F609" s="109"/>
      <c r="G609" s="98" t="s">
        <v>139</v>
      </c>
      <c r="H609" s="98" t="s">
        <v>2876</v>
      </c>
      <c r="I609" s="81" t="s">
        <v>40</v>
      </c>
      <c r="J609" s="93"/>
      <c r="K609" s="93">
        <v>12</v>
      </c>
      <c r="L609" s="94">
        <v>60000</v>
      </c>
      <c r="M609" s="93">
        <v>12</v>
      </c>
      <c r="N609" s="94">
        <v>70000</v>
      </c>
      <c r="O609" s="93">
        <v>12</v>
      </c>
      <c r="P609" s="96">
        <v>77000</v>
      </c>
      <c r="Q609" s="93">
        <v>12</v>
      </c>
      <c r="R609" s="96">
        <v>84700</v>
      </c>
      <c r="S609" s="93">
        <v>12</v>
      </c>
      <c r="T609" s="96">
        <v>93170</v>
      </c>
      <c r="U609" s="93">
        <v>12</v>
      </c>
      <c r="V609" s="96">
        <v>102487</v>
      </c>
      <c r="W609" s="86"/>
      <c r="X609" s="87"/>
      <c r="Y609" s="661" t="s">
        <v>1374</v>
      </c>
    </row>
    <row r="610" spans="2:25" ht="72" x14ac:dyDescent="0.25">
      <c r="B610" s="1944"/>
      <c r="C610" s="109"/>
      <c r="D610" s="109"/>
      <c r="E610" s="109"/>
      <c r="F610" s="109"/>
      <c r="G610" s="124" t="s">
        <v>65</v>
      </c>
      <c r="H610" s="124" t="s">
        <v>249</v>
      </c>
      <c r="I610" s="135" t="s">
        <v>19</v>
      </c>
      <c r="J610" s="142">
        <v>100</v>
      </c>
      <c r="K610" s="142">
        <v>20</v>
      </c>
      <c r="L610" s="129">
        <f>SUM(L611:L659)</f>
        <v>5135810</v>
      </c>
      <c r="M610" s="129">
        <v>20</v>
      </c>
      <c r="N610" s="129">
        <f>SUM(N611:N659)</f>
        <v>768887</v>
      </c>
      <c r="O610" s="129">
        <v>15</v>
      </c>
      <c r="P610" s="129">
        <f>SUM(P611:P659)</f>
        <v>675675.7</v>
      </c>
      <c r="Q610" s="129">
        <v>15</v>
      </c>
      <c r="R610" s="129">
        <f>SUM(R611:R659)</f>
        <v>467243.27</v>
      </c>
      <c r="S610" s="129">
        <v>15</v>
      </c>
      <c r="T610" s="129">
        <f>SUM(T611:T659)</f>
        <v>923967.59699999995</v>
      </c>
      <c r="U610" s="129">
        <v>15</v>
      </c>
      <c r="V610" s="129">
        <f>SUM(V611:V659)</f>
        <v>661164.3567</v>
      </c>
      <c r="W610" s="129">
        <v>100</v>
      </c>
      <c r="X610" s="143"/>
      <c r="Y610" s="661" t="s">
        <v>1374</v>
      </c>
    </row>
    <row r="611" spans="2:25" ht="51" x14ac:dyDescent="0.25">
      <c r="B611" s="1944"/>
      <c r="C611" s="109"/>
      <c r="D611" s="109"/>
      <c r="E611" s="109"/>
      <c r="F611" s="109"/>
      <c r="G611" s="76" t="s">
        <v>142</v>
      </c>
      <c r="H611" s="98" t="s">
        <v>2877</v>
      </c>
      <c r="I611" s="81"/>
      <c r="J611" s="93"/>
      <c r="K611" s="93"/>
      <c r="L611" s="106">
        <v>162000</v>
      </c>
      <c r="M611" s="93"/>
      <c r="N611" s="106">
        <v>491000</v>
      </c>
      <c r="O611" s="93"/>
      <c r="P611" s="96">
        <v>360000</v>
      </c>
      <c r="Q611" s="93"/>
      <c r="R611" s="96">
        <v>120000</v>
      </c>
      <c r="S611" s="93"/>
      <c r="T611" s="96">
        <v>542000</v>
      </c>
      <c r="U611" s="93"/>
      <c r="V611" s="96">
        <v>241000</v>
      </c>
      <c r="W611" s="129"/>
      <c r="X611" s="87"/>
      <c r="Y611" s="661" t="s">
        <v>1374</v>
      </c>
    </row>
    <row r="612" spans="2:25" ht="25.5" x14ac:dyDescent="0.25">
      <c r="B612" s="1944"/>
      <c r="C612" s="109"/>
      <c r="D612" s="109"/>
      <c r="E612" s="109"/>
      <c r="F612" s="109"/>
      <c r="G612" s="78"/>
      <c r="H612" s="118" t="s">
        <v>2878</v>
      </c>
      <c r="I612" s="81" t="s">
        <v>75</v>
      </c>
      <c r="J612" s="93"/>
      <c r="K612" s="93">
        <v>9</v>
      </c>
      <c r="L612" s="112"/>
      <c r="M612" s="93">
        <v>0</v>
      </c>
      <c r="N612" s="144"/>
      <c r="O612" s="93">
        <v>0</v>
      </c>
      <c r="P612" s="112"/>
      <c r="Q612" s="93">
        <v>0</v>
      </c>
      <c r="R612" s="111"/>
      <c r="S612" s="93">
        <v>3</v>
      </c>
      <c r="T612" s="112"/>
      <c r="U612" s="93">
        <v>1</v>
      </c>
      <c r="V612" s="111"/>
      <c r="W612" s="86"/>
      <c r="X612" s="89"/>
      <c r="Y612" s="661" t="s">
        <v>1374</v>
      </c>
    </row>
    <row r="613" spans="2:25" ht="25.5" x14ac:dyDescent="0.25">
      <c r="B613" s="1944"/>
      <c r="C613" s="109"/>
      <c r="D613" s="109"/>
      <c r="E613" s="109"/>
      <c r="F613" s="109"/>
      <c r="G613" s="78"/>
      <c r="H613" s="118" t="s">
        <v>2879</v>
      </c>
      <c r="I613" s="81" t="s">
        <v>75</v>
      </c>
      <c r="J613" s="93"/>
      <c r="K613" s="93">
        <v>0</v>
      </c>
      <c r="L613" s="111"/>
      <c r="M613" s="93">
        <v>3</v>
      </c>
      <c r="N613" s="112"/>
      <c r="O613" s="93">
        <v>2</v>
      </c>
      <c r="P613" s="112"/>
      <c r="Q613" s="93">
        <v>2</v>
      </c>
      <c r="R613" s="112"/>
      <c r="S613" s="93">
        <v>0</v>
      </c>
      <c r="T613" s="111"/>
      <c r="U613" s="93">
        <v>2</v>
      </c>
      <c r="V613" s="112"/>
      <c r="W613" s="86"/>
      <c r="X613" s="89"/>
      <c r="Y613" s="661" t="s">
        <v>1374</v>
      </c>
    </row>
    <row r="614" spans="2:25" x14ac:dyDescent="0.25">
      <c r="B614" s="1944"/>
      <c r="C614" s="109"/>
      <c r="D614" s="109"/>
      <c r="E614" s="109"/>
      <c r="F614" s="109"/>
      <c r="G614" s="78"/>
      <c r="H614" s="118" t="s">
        <v>2880</v>
      </c>
      <c r="I614" s="81" t="s">
        <v>75</v>
      </c>
      <c r="J614" s="93"/>
      <c r="K614" s="93">
        <v>0</v>
      </c>
      <c r="L614" s="111"/>
      <c r="M614" s="93">
        <v>0</v>
      </c>
      <c r="N614" s="144"/>
      <c r="O614" s="93">
        <v>1</v>
      </c>
      <c r="P614" s="112"/>
      <c r="Q614" s="93">
        <v>0</v>
      </c>
      <c r="R614" s="111"/>
      <c r="S614" s="93">
        <v>0</v>
      </c>
      <c r="T614" s="111"/>
      <c r="U614" s="93">
        <v>0</v>
      </c>
      <c r="V614" s="112"/>
      <c r="W614" s="86"/>
      <c r="X614" s="89"/>
      <c r="Y614" s="661" t="s">
        <v>1374</v>
      </c>
    </row>
    <row r="615" spans="2:25" ht="25.5" x14ac:dyDescent="0.25">
      <c r="B615" s="1944"/>
      <c r="C615" s="109"/>
      <c r="D615" s="109"/>
      <c r="E615" s="109"/>
      <c r="F615" s="109"/>
      <c r="G615" s="78"/>
      <c r="H615" s="118" t="s">
        <v>2881</v>
      </c>
      <c r="I615" s="81" t="s">
        <v>75</v>
      </c>
      <c r="J615" s="93"/>
      <c r="K615" s="93">
        <v>0</v>
      </c>
      <c r="L615" s="115"/>
      <c r="M615" s="93">
        <v>1</v>
      </c>
      <c r="N615" s="116"/>
      <c r="O615" s="93">
        <v>0</v>
      </c>
      <c r="P615" s="115"/>
      <c r="Q615" s="93">
        <v>0</v>
      </c>
      <c r="R615" s="115"/>
      <c r="S615" s="93">
        <v>1</v>
      </c>
      <c r="T615" s="115"/>
      <c r="U615" s="93">
        <v>0</v>
      </c>
      <c r="V615" s="115"/>
      <c r="W615" s="86"/>
      <c r="X615" s="92"/>
      <c r="Y615" s="661" t="s">
        <v>1374</v>
      </c>
    </row>
    <row r="616" spans="2:25" ht="38.25" x14ac:dyDescent="0.25">
      <c r="B616" s="1944"/>
      <c r="C616" s="109"/>
      <c r="D616" s="109"/>
      <c r="E616" s="109"/>
      <c r="F616" s="109"/>
      <c r="G616" s="78"/>
      <c r="H616" s="118" t="s">
        <v>2882</v>
      </c>
      <c r="I616" s="81" t="s">
        <v>75</v>
      </c>
      <c r="J616" s="93"/>
      <c r="K616" s="93"/>
      <c r="L616" s="93"/>
      <c r="M616" s="93">
        <v>2</v>
      </c>
      <c r="N616" s="112"/>
      <c r="O616" s="93">
        <v>2</v>
      </c>
      <c r="P616" s="115"/>
      <c r="Q616" s="93">
        <v>2</v>
      </c>
      <c r="R616" s="115"/>
      <c r="S616" s="93">
        <v>2</v>
      </c>
      <c r="T616" s="115"/>
      <c r="U616" s="93">
        <v>1</v>
      </c>
      <c r="V616" s="115"/>
      <c r="W616" s="86"/>
      <c r="X616" s="92"/>
      <c r="Y616" s="661" t="s">
        <v>1374</v>
      </c>
    </row>
    <row r="617" spans="2:25" ht="51" x14ac:dyDescent="0.25">
      <c r="B617" s="1944"/>
      <c r="C617" s="109"/>
      <c r="D617" s="109"/>
      <c r="E617" s="109"/>
      <c r="F617" s="109"/>
      <c r="G617" s="103" t="s">
        <v>144</v>
      </c>
      <c r="H617" s="98" t="s">
        <v>2883</v>
      </c>
      <c r="I617" s="81"/>
      <c r="J617" s="93"/>
      <c r="K617" s="93"/>
      <c r="L617" s="83">
        <v>41600</v>
      </c>
      <c r="M617" s="98"/>
      <c r="N617" s="83">
        <v>11000</v>
      </c>
      <c r="O617" s="93"/>
      <c r="P617" s="96">
        <v>12100</v>
      </c>
      <c r="Q617" s="93"/>
      <c r="R617" s="96">
        <v>13310</v>
      </c>
      <c r="S617" s="93"/>
      <c r="T617" s="96">
        <v>14641</v>
      </c>
      <c r="U617" s="93"/>
      <c r="V617" s="96">
        <v>16105.1</v>
      </c>
      <c r="W617" s="121"/>
      <c r="X617" s="87"/>
      <c r="Y617" s="661" t="s">
        <v>1374</v>
      </c>
    </row>
    <row r="618" spans="2:25" x14ac:dyDescent="0.25">
      <c r="B618" s="1944"/>
      <c r="C618" s="109"/>
      <c r="D618" s="109"/>
      <c r="E618" s="109"/>
      <c r="F618" s="109"/>
      <c r="G618" s="109"/>
      <c r="H618" s="118" t="s">
        <v>2884</v>
      </c>
      <c r="I618" s="81" t="s">
        <v>75</v>
      </c>
      <c r="J618" s="93">
        <v>1</v>
      </c>
      <c r="K618" s="93">
        <v>1</v>
      </c>
      <c r="L618" s="88"/>
      <c r="M618" s="93">
        <v>0</v>
      </c>
      <c r="N618" s="88"/>
      <c r="O618" s="93">
        <v>0</v>
      </c>
      <c r="P618" s="88"/>
      <c r="Q618" s="93">
        <v>0</v>
      </c>
      <c r="R618" s="145"/>
      <c r="S618" s="93">
        <v>0</v>
      </c>
      <c r="T618" s="88"/>
      <c r="U618" s="93">
        <v>0</v>
      </c>
      <c r="V618" s="88"/>
      <c r="W618" s="86"/>
      <c r="X618" s="146"/>
      <c r="Y618" s="661" t="s">
        <v>1374</v>
      </c>
    </row>
    <row r="619" spans="2:25" x14ac:dyDescent="0.25">
      <c r="B619" s="1944"/>
      <c r="C619" s="109"/>
      <c r="D619" s="109"/>
      <c r="E619" s="109"/>
      <c r="F619" s="109"/>
      <c r="G619" s="109"/>
      <c r="H619" s="118" t="s">
        <v>2885</v>
      </c>
      <c r="I619" s="81" t="s">
        <v>75</v>
      </c>
      <c r="J619" s="93">
        <v>0</v>
      </c>
      <c r="K619" s="93">
        <v>4</v>
      </c>
      <c r="L619" s="88"/>
      <c r="M619" s="93">
        <v>2</v>
      </c>
      <c r="N619" s="88"/>
      <c r="O619" s="93">
        <v>1</v>
      </c>
      <c r="P619" s="88"/>
      <c r="Q619" s="93">
        <v>0</v>
      </c>
      <c r="R619" s="145"/>
      <c r="S619" s="93">
        <v>0</v>
      </c>
      <c r="T619" s="88"/>
      <c r="U619" s="93">
        <v>0</v>
      </c>
      <c r="V619" s="88"/>
      <c r="W619" s="86"/>
      <c r="X619" s="146"/>
      <c r="Y619" s="661" t="s">
        <v>1374</v>
      </c>
    </row>
    <row r="620" spans="2:25" ht="38.25" x14ac:dyDescent="0.25">
      <c r="B620" s="1944"/>
      <c r="C620" s="109"/>
      <c r="D620" s="109"/>
      <c r="E620" s="109"/>
      <c r="F620" s="109"/>
      <c r="G620" s="109"/>
      <c r="H620" s="118" t="s">
        <v>2886</v>
      </c>
      <c r="I620" s="81" t="s">
        <v>75</v>
      </c>
      <c r="J620" s="93">
        <v>2</v>
      </c>
      <c r="K620" s="93">
        <v>0</v>
      </c>
      <c r="L620" s="88"/>
      <c r="M620" s="93">
        <v>0</v>
      </c>
      <c r="N620" s="88"/>
      <c r="O620" s="93">
        <v>2</v>
      </c>
      <c r="P620" s="88"/>
      <c r="Q620" s="93">
        <v>2</v>
      </c>
      <c r="R620" s="145"/>
      <c r="S620" s="93">
        <v>2</v>
      </c>
      <c r="T620" s="88"/>
      <c r="U620" s="93">
        <v>2</v>
      </c>
      <c r="V620" s="88"/>
      <c r="W620" s="86"/>
      <c r="X620" s="146"/>
      <c r="Y620" s="661" t="s">
        <v>1374</v>
      </c>
    </row>
    <row r="621" spans="2:25" x14ac:dyDescent="0.25">
      <c r="B621" s="1944"/>
      <c r="C621" s="109"/>
      <c r="D621" s="109"/>
      <c r="E621" s="109"/>
      <c r="F621" s="109"/>
      <c r="G621" s="109"/>
      <c r="H621" s="118" t="s">
        <v>2887</v>
      </c>
      <c r="I621" s="81" t="s">
        <v>251</v>
      </c>
      <c r="J621" s="93">
        <v>0</v>
      </c>
      <c r="K621" s="93">
        <v>2</v>
      </c>
      <c r="L621" s="88"/>
      <c r="M621" s="93">
        <v>0</v>
      </c>
      <c r="N621" s="88"/>
      <c r="O621" s="93">
        <v>2</v>
      </c>
      <c r="P621" s="88"/>
      <c r="Q621" s="93">
        <v>2</v>
      </c>
      <c r="R621" s="145"/>
      <c r="S621" s="93">
        <v>2</v>
      </c>
      <c r="T621" s="88"/>
      <c r="U621" s="93">
        <v>2</v>
      </c>
      <c r="V621" s="88"/>
      <c r="W621" s="86"/>
      <c r="X621" s="146"/>
      <c r="Y621" s="661" t="s">
        <v>1374</v>
      </c>
    </row>
    <row r="622" spans="2:25" x14ac:dyDescent="0.25">
      <c r="B622" s="1944"/>
      <c r="C622" s="109"/>
      <c r="D622" s="109"/>
      <c r="E622" s="109"/>
      <c r="F622" s="109"/>
      <c r="G622" s="109"/>
      <c r="H622" s="118" t="s">
        <v>2888</v>
      </c>
      <c r="I622" s="81" t="s">
        <v>75</v>
      </c>
      <c r="J622" s="93">
        <v>0</v>
      </c>
      <c r="K622" s="93">
        <v>0</v>
      </c>
      <c r="L622" s="88"/>
      <c r="M622" s="93">
        <v>0</v>
      </c>
      <c r="N622" s="88"/>
      <c r="O622" s="93">
        <v>0</v>
      </c>
      <c r="P622" s="88"/>
      <c r="Q622" s="93">
        <v>1</v>
      </c>
      <c r="R622" s="145"/>
      <c r="S622" s="93">
        <v>1</v>
      </c>
      <c r="T622" s="88"/>
      <c r="U622" s="93">
        <v>1</v>
      </c>
      <c r="V622" s="88"/>
      <c r="W622" s="86"/>
      <c r="X622" s="146"/>
      <c r="Y622" s="661" t="s">
        <v>1374</v>
      </c>
    </row>
    <row r="623" spans="2:25" ht="25.5" x14ac:dyDescent="0.25">
      <c r="B623" s="1944"/>
      <c r="C623" s="109"/>
      <c r="D623" s="109"/>
      <c r="E623" s="109"/>
      <c r="F623" s="109"/>
      <c r="G623" s="109"/>
      <c r="H623" s="118" t="s">
        <v>2889</v>
      </c>
      <c r="I623" s="81" t="s">
        <v>75</v>
      </c>
      <c r="J623" s="93">
        <v>0</v>
      </c>
      <c r="K623" s="93">
        <v>0</v>
      </c>
      <c r="L623" s="88"/>
      <c r="M623" s="93">
        <v>0</v>
      </c>
      <c r="N623" s="88"/>
      <c r="O623" s="93">
        <v>2</v>
      </c>
      <c r="P623" s="88"/>
      <c r="Q623" s="93">
        <v>2</v>
      </c>
      <c r="R623" s="145"/>
      <c r="S623" s="93">
        <v>2</v>
      </c>
      <c r="T623" s="88"/>
      <c r="U623" s="93">
        <v>2</v>
      </c>
      <c r="V623" s="88"/>
      <c r="W623" s="86"/>
      <c r="X623" s="146"/>
      <c r="Y623" s="661" t="s">
        <v>1374</v>
      </c>
    </row>
    <row r="624" spans="2:25" x14ac:dyDescent="0.25">
      <c r="B624" s="1944"/>
      <c r="C624" s="109"/>
      <c r="D624" s="109"/>
      <c r="E624" s="109"/>
      <c r="F624" s="109"/>
      <c r="G624" s="109"/>
      <c r="H624" s="118" t="s">
        <v>2890</v>
      </c>
      <c r="I624" s="81" t="s">
        <v>75</v>
      </c>
      <c r="J624" s="93">
        <v>0</v>
      </c>
      <c r="K624" s="93">
        <v>0</v>
      </c>
      <c r="L624" s="88"/>
      <c r="M624" s="93">
        <v>0</v>
      </c>
      <c r="N624" s="88"/>
      <c r="O624" s="93">
        <v>1</v>
      </c>
      <c r="P624" s="88"/>
      <c r="Q624" s="93">
        <v>1</v>
      </c>
      <c r="R624" s="145"/>
      <c r="S624" s="93">
        <v>1</v>
      </c>
      <c r="T624" s="88"/>
      <c r="U624" s="93">
        <v>1</v>
      </c>
      <c r="V624" s="88"/>
      <c r="W624" s="86"/>
      <c r="X624" s="146"/>
      <c r="Y624" s="661" t="s">
        <v>1374</v>
      </c>
    </row>
    <row r="625" spans="2:25" ht="51" x14ac:dyDescent="0.25">
      <c r="B625" s="1944"/>
      <c r="C625" s="109"/>
      <c r="D625" s="109"/>
      <c r="E625" s="109"/>
      <c r="F625" s="109"/>
      <c r="G625" s="103" t="s">
        <v>149</v>
      </c>
      <c r="H625" s="98" t="s">
        <v>2891</v>
      </c>
      <c r="I625" s="81"/>
      <c r="J625" s="121"/>
      <c r="K625" s="121"/>
      <c r="L625" s="83">
        <v>60500</v>
      </c>
      <c r="M625" s="121"/>
      <c r="N625" s="83">
        <v>133200</v>
      </c>
      <c r="O625" s="147"/>
      <c r="P625" s="85">
        <v>146520</v>
      </c>
      <c r="Q625" s="148"/>
      <c r="R625" s="85">
        <v>161172</v>
      </c>
      <c r="S625" s="148">
        <v>8</v>
      </c>
      <c r="T625" s="85">
        <v>177289.2</v>
      </c>
      <c r="U625" s="148">
        <v>7</v>
      </c>
      <c r="V625" s="85">
        <v>195018.12000000002</v>
      </c>
      <c r="W625" s="149"/>
      <c r="X625" s="87"/>
      <c r="Y625" s="661" t="s">
        <v>1374</v>
      </c>
    </row>
    <row r="626" spans="2:25" x14ac:dyDescent="0.25">
      <c r="B626" s="1944"/>
      <c r="C626" s="109"/>
      <c r="D626" s="109"/>
      <c r="E626" s="109"/>
      <c r="F626" s="109"/>
      <c r="G626" s="109"/>
      <c r="H626" s="118" t="s">
        <v>2892</v>
      </c>
      <c r="I626" s="81" t="s">
        <v>75</v>
      </c>
      <c r="J626" s="93"/>
      <c r="K626" s="93">
        <v>2</v>
      </c>
      <c r="L626" s="88"/>
      <c r="M626" s="93">
        <v>3</v>
      </c>
      <c r="N626" s="88"/>
      <c r="O626" s="82">
        <v>2</v>
      </c>
      <c r="P626" s="88"/>
      <c r="Q626" s="150">
        <v>2</v>
      </c>
      <c r="R626" s="88"/>
      <c r="S626" s="150">
        <v>2</v>
      </c>
      <c r="T626" s="88"/>
      <c r="U626" s="150">
        <v>1</v>
      </c>
      <c r="V626" s="88"/>
      <c r="W626" s="86"/>
      <c r="X626" s="146"/>
      <c r="Y626" s="661" t="s">
        <v>1374</v>
      </c>
    </row>
    <row r="627" spans="2:25" x14ac:dyDescent="0.25">
      <c r="B627" s="1944"/>
      <c r="C627" s="109"/>
      <c r="D627" s="109"/>
      <c r="E627" s="109"/>
      <c r="F627" s="109"/>
      <c r="G627" s="109"/>
      <c r="H627" s="118" t="s">
        <v>2893</v>
      </c>
      <c r="I627" s="81" t="s">
        <v>75</v>
      </c>
      <c r="J627" s="93">
        <v>3</v>
      </c>
      <c r="K627" s="93">
        <v>1</v>
      </c>
      <c r="L627" s="88"/>
      <c r="M627" s="93">
        <v>10</v>
      </c>
      <c r="N627" s="88"/>
      <c r="O627" s="82">
        <v>1</v>
      </c>
      <c r="P627" s="88"/>
      <c r="Q627" s="150">
        <v>1</v>
      </c>
      <c r="R627" s="88"/>
      <c r="S627" s="150">
        <v>1</v>
      </c>
      <c r="T627" s="88"/>
      <c r="U627" s="150">
        <v>1</v>
      </c>
      <c r="V627" s="88"/>
      <c r="W627" s="86"/>
      <c r="X627" s="146"/>
      <c r="Y627" s="661" t="s">
        <v>1374</v>
      </c>
    </row>
    <row r="628" spans="2:25" ht="25.5" x14ac:dyDescent="0.25">
      <c r="B628" s="1944"/>
      <c r="C628" s="109"/>
      <c r="D628" s="109"/>
      <c r="E628" s="109"/>
      <c r="F628" s="109"/>
      <c r="G628" s="109"/>
      <c r="H628" s="118" t="s">
        <v>2894</v>
      </c>
      <c r="I628" s="81" t="s">
        <v>75</v>
      </c>
      <c r="J628" s="93"/>
      <c r="K628" s="93">
        <v>0</v>
      </c>
      <c r="L628" s="88"/>
      <c r="M628" s="93">
        <v>9</v>
      </c>
      <c r="N628" s="88"/>
      <c r="O628" s="82">
        <v>2</v>
      </c>
      <c r="P628" s="88"/>
      <c r="Q628" s="150">
        <v>0</v>
      </c>
      <c r="R628" s="88"/>
      <c r="S628" s="150">
        <v>0</v>
      </c>
      <c r="T628" s="88"/>
      <c r="U628" s="150">
        <v>0</v>
      </c>
      <c r="V628" s="88"/>
      <c r="W628" s="86"/>
      <c r="X628" s="146"/>
      <c r="Y628" s="661" t="s">
        <v>1374</v>
      </c>
    </row>
    <row r="629" spans="2:25" x14ac:dyDescent="0.25">
      <c r="B629" s="1944"/>
      <c r="C629" s="109"/>
      <c r="D629" s="109"/>
      <c r="E629" s="109"/>
      <c r="F629" s="109"/>
      <c r="G629" s="109"/>
      <c r="H629" s="118" t="s">
        <v>2895</v>
      </c>
      <c r="I629" s="81" t="s">
        <v>75</v>
      </c>
      <c r="J629" s="93"/>
      <c r="K629" s="93">
        <v>0</v>
      </c>
      <c r="L629" s="88"/>
      <c r="M629" s="93">
        <v>2</v>
      </c>
      <c r="N629" s="88"/>
      <c r="O629" s="82">
        <v>4</v>
      </c>
      <c r="P629" s="88"/>
      <c r="Q629" s="150">
        <v>1</v>
      </c>
      <c r="R629" s="88"/>
      <c r="S629" s="150">
        <v>1</v>
      </c>
      <c r="T629" s="88"/>
      <c r="U629" s="150">
        <v>1</v>
      </c>
      <c r="V629" s="88"/>
      <c r="W629" s="86"/>
      <c r="X629" s="146"/>
      <c r="Y629" s="661" t="s">
        <v>1374</v>
      </c>
    </row>
    <row r="630" spans="2:25" x14ac:dyDescent="0.25">
      <c r="B630" s="1944"/>
      <c r="C630" s="109"/>
      <c r="D630" s="109"/>
      <c r="E630" s="109"/>
      <c r="F630" s="109"/>
      <c r="G630" s="109"/>
      <c r="H630" s="118" t="s">
        <v>2896</v>
      </c>
      <c r="I630" s="81" t="s">
        <v>75</v>
      </c>
      <c r="J630" s="93"/>
      <c r="K630" s="93">
        <v>0</v>
      </c>
      <c r="L630" s="88"/>
      <c r="M630" s="93">
        <v>1</v>
      </c>
      <c r="N630" s="88"/>
      <c r="O630" s="82">
        <v>0</v>
      </c>
      <c r="P630" s="88"/>
      <c r="Q630" s="150">
        <v>0</v>
      </c>
      <c r="R630" s="88"/>
      <c r="S630" s="150">
        <v>0</v>
      </c>
      <c r="T630" s="88"/>
      <c r="U630" s="150">
        <v>1</v>
      </c>
      <c r="V630" s="88"/>
      <c r="W630" s="86"/>
      <c r="X630" s="146"/>
      <c r="Y630" s="661" t="s">
        <v>1374</v>
      </c>
    </row>
    <row r="631" spans="2:25" x14ac:dyDescent="0.25">
      <c r="B631" s="1944"/>
      <c r="C631" s="109"/>
      <c r="D631" s="109"/>
      <c r="E631" s="109"/>
      <c r="F631" s="109"/>
      <c r="G631" s="109"/>
      <c r="H631" s="118" t="s">
        <v>2897</v>
      </c>
      <c r="I631" s="81"/>
      <c r="J631" s="93">
        <v>0</v>
      </c>
      <c r="K631" s="93">
        <v>0</v>
      </c>
      <c r="L631" s="88"/>
      <c r="M631" s="93">
        <v>0</v>
      </c>
      <c r="N631" s="88"/>
      <c r="O631" s="82">
        <v>1</v>
      </c>
      <c r="P631" s="88"/>
      <c r="Q631" s="150">
        <v>0</v>
      </c>
      <c r="R631" s="88"/>
      <c r="S631" s="150">
        <v>1</v>
      </c>
      <c r="T631" s="88"/>
      <c r="U631" s="150">
        <v>0</v>
      </c>
      <c r="V631" s="88"/>
      <c r="W631" s="86"/>
      <c r="X631" s="146"/>
      <c r="Y631" s="661" t="s">
        <v>1374</v>
      </c>
    </row>
    <row r="632" spans="2:25" ht="25.5" x14ac:dyDescent="0.25">
      <c r="B632" s="1944"/>
      <c r="C632" s="109"/>
      <c r="D632" s="109"/>
      <c r="E632" s="109"/>
      <c r="F632" s="109"/>
      <c r="G632" s="109"/>
      <c r="H632" s="118" t="s">
        <v>2898</v>
      </c>
      <c r="I632" s="81" t="s">
        <v>75</v>
      </c>
      <c r="J632" s="93">
        <v>0</v>
      </c>
      <c r="K632" s="93">
        <v>0</v>
      </c>
      <c r="L632" s="88"/>
      <c r="M632" s="93">
        <v>1</v>
      </c>
      <c r="N632" s="88"/>
      <c r="O632" s="82">
        <v>0</v>
      </c>
      <c r="P632" s="88"/>
      <c r="Q632" s="150">
        <v>0</v>
      </c>
      <c r="R632" s="88"/>
      <c r="S632" s="150">
        <v>1</v>
      </c>
      <c r="T632" s="88"/>
      <c r="U632" s="150">
        <v>0</v>
      </c>
      <c r="V632" s="88"/>
      <c r="W632" s="86"/>
      <c r="X632" s="146"/>
      <c r="Y632" s="661" t="s">
        <v>1374</v>
      </c>
    </row>
    <row r="633" spans="2:25" ht="25.5" x14ac:dyDescent="0.25">
      <c r="B633" s="1944"/>
      <c r="C633" s="109"/>
      <c r="D633" s="109"/>
      <c r="E633" s="109"/>
      <c r="F633" s="109"/>
      <c r="G633" s="109"/>
      <c r="H633" s="118" t="s">
        <v>2899</v>
      </c>
      <c r="I633" s="81" t="s">
        <v>75</v>
      </c>
      <c r="J633" s="93">
        <v>0</v>
      </c>
      <c r="K633" s="93">
        <v>0</v>
      </c>
      <c r="L633" s="88"/>
      <c r="M633" s="93">
        <v>1</v>
      </c>
      <c r="N633" s="88"/>
      <c r="O633" s="82">
        <v>0</v>
      </c>
      <c r="P633" s="88"/>
      <c r="Q633" s="150">
        <v>1</v>
      </c>
      <c r="R633" s="88"/>
      <c r="S633" s="150">
        <v>0</v>
      </c>
      <c r="T633" s="88"/>
      <c r="U633" s="150">
        <v>1</v>
      </c>
      <c r="V633" s="88"/>
      <c r="W633" s="86"/>
      <c r="X633" s="146"/>
      <c r="Y633" s="661" t="s">
        <v>1374</v>
      </c>
    </row>
    <row r="634" spans="2:25" x14ac:dyDescent="0.25">
      <c r="B634" s="1944"/>
      <c r="C634" s="109"/>
      <c r="D634" s="109"/>
      <c r="E634" s="109"/>
      <c r="F634" s="109"/>
      <c r="G634" s="109"/>
      <c r="H634" s="118" t="s">
        <v>2900</v>
      </c>
      <c r="I634" s="81" t="s">
        <v>75</v>
      </c>
      <c r="J634" s="93">
        <v>4</v>
      </c>
      <c r="K634" s="93">
        <v>0</v>
      </c>
      <c r="L634" s="88"/>
      <c r="M634" s="93">
        <v>4</v>
      </c>
      <c r="N634" s="88"/>
      <c r="O634" s="82">
        <v>4</v>
      </c>
      <c r="P634" s="88"/>
      <c r="Q634" s="150">
        <v>2</v>
      </c>
      <c r="R634" s="88"/>
      <c r="S634" s="150">
        <v>0</v>
      </c>
      <c r="T634" s="88"/>
      <c r="U634" s="150">
        <v>0</v>
      </c>
      <c r="V634" s="88"/>
      <c r="W634" s="86"/>
      <c r="X634" s="146"/>
      <c r="Y634" s="661" t="s">
        <v>1374</v>
      </c>
    </row>
    <row r="635" spans="2:25" x14ac:dyDescent="0.25">
      <c r="B635" s="1944"/>
      <c r="C635" s="109"/>
      <c r="D635" s="109"/>
      <c r="E635" s="109"/>
      <c r="F635" s="109"/>
      <c r="G635" s="109"/>
      <c r="H635" s="118" t="s">
        <v>2901</v>
      </c>
      <c r="I635" s="81" t="s">
        <v>75</v>
      </c>
      <c r="J635" s="93">
        <v>0</v>
      </c>
      <c r="K635" s="93">
        <v>0</v>
      </c>
      <c r="L635" s="88"/>
      <c r="M635" s="93">
        <v>1</v>
      </c>
      <c r="N635" s="88"/>
      <c r="O635" s="82">
        <v>0</v>
      </c>
      <c r="P635" s="88"/>
      <c r="Q635" s="150">
        <v>1</v>
      </c>
      <c r="R635" s="88"/>
      <c r="S635" s="150">
        <v>0</v>
      </c>
      <c r="T635" s="88"/>
      <c r="U635" s="150">
        <v>0</v>
      </c>
      <c r="V635" s="88"/>
      <c r="W635" s="86"/>
      <c r="X635" s="146"/>
      <c r="Y635" s="661" t="s">
        <v>1374</v>
      </c>
    </row>
    <row r="636" spans="2:25" x14ac:dyDescent="0.25">
      <c r="B636" s="1944"/>
      <c r="C636" s="109"/>
      <c r="D636" s="109"/>
      <c r="E636" s="109"/>
      <c r="F636" s="109"/>
      <c r="G636" s="109"/>
      <c r="H636" s="118" t="s">
        <v>2902</v>
      </c>
      <c r="I636" s="81" t="s">
        <v>75</v>
      </c>
      <c r="J636" s="93">
        <v>1</v>
      </c>
      <c r="K636" s="93">
        <v>1</v>
      </c>
      <c r="L636" s="88"/>
      <c r="M636" s="93">
        <v>0</v>
      </c>
      <c r="N636" s="88"/>
      <c r="O636" s="82">
        <v>1</v>
      </c>
      <c r="P636" s="88"/>
      <c r="Q636" s="150">
        <v>0</v>
      </c>
      <c r="R636" s="88"/>
      <c r="S636" s="150">
        <v>0</v>
      </c>
      <c r="T636" s="88"/>
      <c r="U636" s="150">
        <v>0</v>
      </c>
      <c r="V636" s="88"/>
      <c r="W636" s="86"/>
      <c r="X636" s="146"/>
      <c r="Y636" s="661" t="s">
        <v>1374</v>
      </c>
    </row>
    <row r="637" spans="2:25" ht="25.5" x14ac:dyDescent="0.25">
      <c r="B637" s="1944"/>
      <c r="C637" s="109"/>
      <c r="D637" s="109"/>
      <c r="E637" s="109"/>
      <c r="F637" s="109"/>
      <c r="G637" s="109"/>
      <c r="H637" s="118" t="s">
        <v>2903</v>
      </c>
      <c r="I637" s="81" t="s">
        <v>75</v>
      </c>
      <c r="J637" s="93">
        <v>1</v>
      </c>
      <c r="K637" s="93">
        <v>0</v>
      </c>
      <c r="L637" s="88"/>
      <c r="M637" s="93">
        <v>0</v>
      </c>
      <c r="N637" s="88"/>
      <c r="O637" s="82">
        <v>1</v>
      </c>
      <c r="P637" s="88"/>
      <c r="Q637" s="150">
        <v>0</v>
      </c>
      <c r="R637" s="88"/>
      <c r="S637" s="150">
        <v>0</v>
      </c>
      <c r="T637" s="88"/>
      <c r="U637" s="150">
        <v>0</v>
      </c>
      <c r="V637" s="88"/>
      <c r="W637" s="86"/>
      <c r="X637" s="146"/>
      <c r="Y637" s="661" t="s">
        <v>1374</v>
      </c>
    </row>
    <row r="638" spans="2:25" x14ac:dyDescent="0.25">
      <c r="B638" s="1944"/>
      <c r="C638" s="109"/>
      <c r="D638" s="109"/>
      <c r="E638" s="109"/>
      <c r="F638" s="109"/>
      <c r="G638" s="109"/>
      <c r="H638" s="118" t="s">
        <v>2904</v>
      </c>
      <c r="I638" s="81" t="s">
        <v>69</v>
      </c>
      <c r="J638" s="93">
        <v>0</v>
      </c>
      <c r="K638" s="93">
        <v>1</v>
      </c>
      <c r="L638" s="88"/>
      <c r="M638" s="93">
        <v>0</v>
      </c>
      <c r="N638" s="88"/>
      <c r="O638" s="82">
        <v>0</v>
      </c>
      <c r="P638" s="88"/>
      <c r="Q638" s="150">
        <v>0</v>
      </c>
      <c r="R638" s="88"/>
      <c r="S638" s="150">
        <v>0</v>
      </c>
      <c r="T638" s="88"/>
      <c r="U638" s="150">
        <v>0</v>
      </c>
      <c r="V638" s="88"/>
      <c r="W638" s="86"/>
      <c r="X638" s="146"/>
      <c r="Y638" s="661" t="s">
        <v>1374</v>
      </c>
    </row>
    <row r="639" spans="2:25" ht="25.5" x14ac:dyDescent="0.25">
      <c r="B639" s="1944"/>
      <c r="C639" s="109"/>
      <c r="D639" s="109"/>
      <c r="E639" s="109"/>
      <c r="F639" s="109"/>
      <c r="G639" s="78"/>
      <c r="H639" s="118" t="s">
        <v>2905</v>
      </c>
      <c r="I639" s="81" t="s">
        <v>75</v>
      </c>
      <c r="J639" s="93">
        <v>0</v>
      </c>
      <c r="K639" s="93">
        <v>8</v>
      </c>
      <c r="L639" s="88"/>
      <c r="M639" s="93">
        <v>0</v>
      </c>
      <c r="N639" s="88"/>
      <c r="O639" s="82">
        <v>2</v>
      </c>
      <c r="P639" s="88"/>
      <c r="Q639" s="150">
        <v>2</v>
      </c>
      <c r="R639" s="88"/>
      <c r="S639" s="150">
        <v>2</v>
      </c>
      <c r="T639" s="88"/>
      <c r="U639" s="150">
        <v>2</v>
      </c>
      <c r="V639" s="88"/>
      <c r="W639" s="86"/>
      <c r="X639" s="146"/>
      <c r="Y639" s="661" t="s">
        <v>1374</v>
      </c>
    </row>
    <row r="640" spans="2:25" ht="63.75" x14ac:dyDescent="0.25">
      <c r="B640" s="1944"/>
      <c r="C640" s="109"/>
      <c r="D640" s="109"/>
      <c r="E640" s="109"/>
      <c r="F640" s="109"/>
      <c r="G640" s="76" t="s">
        <v>158</v>
      </c>
      <c r="H640" s="98" t="s">
        <v>2906</v>
      </c>
      <c r="I640" s="81"/>
      <c r="J640" s="93"/>
      <c r="K640" s="82"/>
      <c r="L640" s="85">
        <v>45760</v>
      </c>
      <c r="M640" s="151"/>
      <c r="N640" s="85">
        <v>93687</v>
      </c>
      <c r="O640" s="151"/>
      <c r="P640" s="85">
        <v>103055.7</v>
      </c>
      <c r="Q640" s="151"/>
      <c r="R640" s="85">
        <v>113361.26999999999</v>
      </c>
      <c r="S640" s="150"/>
      <c r="T640" s="85">
        <v>124697.397</v>
      </c>
      <c r="U640" s="151"/>
      <c r="V640" s="85">
        <v>137167.1367</v>
      </c>
      <c r="W640" s="148"/>
      <c r="X640" s="87"/>
      <c r="Y640" s="661" t="s">
        <v>1374</v>
      </c>
    </row>
    <row r="641" spans="2:25" ht="25.5" x14ac:dyDescent="0.25">
      <c r="B641" s="1944"/>
      <c r="C641" s="109"/>
      <c r="D641" s="109"/>
      <c r="E641" s="109"/>
      <c r="F641" s="109"/>
      <c r="G641" s="78"/>
      <c r="H641" s="118" t="s">
        <v>2907</v>
      </c>
      <c r="I641" s="81" t="s">
        <v>75</v>
      </c>
      <c r="J641" s="93"/>
      <c r="K641" s="82">
        <v>1</v>
      </c>
      <c r="L641" s="152"/>
      <c r="M641" s="84">
        <v>4</v>
      </c>
      <c r="N641" s="152"/>
      <c r="O641" s="150">
        <v>3</v>
      </c>
      <c r="P641" s="112"/>
      <c r="Q641" s="153">
        <v>3</v>
      </c>
      <c r="R641" s="152"/>
      <c r="S641" s="150">
        <v>3</v>
      </c>
      <c r="T641" s="152"/>
      <c r="U641" s="150">
        <v>2</v>
      </c>
      <c r="V641" s="152"/>
      <c r="W641" s="86"/>
      <c r="X641" s="89"/>
      <c r="Y641" s="661" t="s">
        <v>1374</v>
      </c>
    </row>
    <row r="642" spans="2:25" x14ac:dyDescent="0.25">
      <c r="B642" s="1944"/>
      <c r="C642" s="109"/>
      <c r="D642" s="109"/>
      <c r="E642" s="109"/>
      <c r="F642" s="109"/>
      <c r="G642" s="78"/>
      <c r="H642" s="118" t="s">
        <v>2908</v>
      </c>
      <c r="I642" s="81" t="s">
        <v>75</v>
      </c>
      <c r="J642" s="93"/>
      <c r="K642" s="82">
        <v>9</v>
      </c>
      <c r="L642" s="152"/>
      <c r="M642" s="84">
        <v>3</v>
      </c>
      <c r="N642" s="152"/>
      <c r="O642" s="150">
        <v>2</v>
      </c>
      <c r="P642" s="112"/>
      <c r="Q642" s="153">
        <v>2</v>
      </c>
      <c r="R642" s="152"/>
      <c r="S642" s="150">
        <v>1</v>
      </c>
      <c r="T642" s="152"/>
      <c r="U642" s="150">
        <v>2</v>
      </c>
      <c r="V642" s="152"/>
      <c r="W642" s="86"/>
      <c r="X642" s="89"/>
      <c r="Y642" s="661" t="s">
        <v>1374</v>
      </c>
    </row>
    <row r="643" spans="2:25" x14ac:dyDescent="0.25">
      <c r="B643" s="1944"/>
      <c r="C643" s="109"/>
      <c r="D643" s="109"/>
      <c r="E643" s="109"/>
      <c r="F643" s="109"/>
      <c r="G643" s="78"/>
      <c r="H643" s="118" t="s">
        <v>2909</v>
      </c>
      <c r="I643" s="81" t="s">
        <v>75</v>
      </c>
      <c r="J643" s="93"/>
      <c r="K643" s="82">
        <v>0</v>
      </c>
      <c r="L643" s="152"/>
      <c r="M643" s="84">
        <v>3</v>
      </c>
      <c r="N643" s="152"/>
      <c r="O643" s="150">
        <v>1</v>
      </c>
      <c r="P643" s="112"/>
      <c r="Q643" s="153">
        <v>1</v>
      </c>
      <c r="R643" s="152"/>
      <c r="S643" s="150">
        <v>2</v>
      </c>
      <c r="T643" s="152"/>
      <c r="U643" s="150">
        <v>1</v>
      </c>
      <c r="V643" s="152"/>
      <c r="W643" s="86"/>
      <c r="X643" s="89"/>
      <c r="Y643" s="661" t="s">
        <v>1374</v>
      </c>
    </row>
    <row r="644" spans="2:25" ht="25.5" x14ac:dyDescent="0.25">
      <c r="B644" s="1944"/>
      <c r="C644" s="109"/>
      <c r="D644" s="109"/>
      <c r="E644" s="109"/>
      <c r="F644" s="109"/>
      <c r="G644" s="78"/>
      <c r="H644" s="118" t="s">
        <v>2910</v>
      </c>
      <c r="I644" s="81" t="s">
        <v>75</v>
      </c>
      <c r="J644" s="93"/>
      <c r="K644" s="82">
        <v>0</v>
      </c>
      <c r="L644" s="152"/>
      <c r="M644" s="84">
        <v>3</v>
      </c>
      <c r="N644" s="152"/>
      <c r="O644" s="150">
        <v>2</v>
      </c>
      <c r="P644" s="111"/>
      <c r="Q644" s="150">
        <v>0</v>
      </c>
      <c r="R644" s="152"/>
      <c r="S644" s="150">
        <v>0</v>
      </c>
      <c r="T644" s="152"/>
      <c r="U644" s="150">
        <v>2</v>
      </c>
      <c r="V644" s="152"/>
      <c r="W644" s="86"/>
      <c r="X644" s="89"/>
      <c r="Y644" s="661" t="s">
        <v>1374</v>
      </c>
    </row>
    <row r="645" spans="2:25" ht="25.5" x14ac:dyDescent="0.25">
      <c r="B645" s="1944"/>
      <c r="C645" s="109"/>
      <c r="D645" s="109"/>
      <c r="E645" s="109"/>
      <c r="F645" s="109"/>
      <c r="G645" s="78"/>
      <c r="H645" s="118" t="s">
        <v>2911</v>
      </c>
      <c r="I645" s="81" t="s">
        <v>75</v>
      </c>
      <c r="J645" s="93"/>
      <c r="K645" s="82">
        <v>0</v>
      </c>
      <c r="L645" s="152"/>
      <c r="M645" s="84">
        <v>0</v>
      </c>
      <c r="N645" s="152"/>
      <c r="O645" s="150">
        <v>4</v>
      </c>
      <c r="P645" s="111"/>
      <c r="Q645" s="150">
        <v>5</v>
      </c>
      <c r="R645" s="152"/>
      <c r="S645" s="150">
        <v>0</v>
      </c>
      <c r="T645" s="152"/>
      <c r="U645" s="150">
        <v>0</v>
      </c>
      <c r="V645" s="152"/>
      <c r="W645" s="86"/>
      <c r="X645" s="89"/>
      <c r="Y645" s="661" t="s">
        <v>1374</v>
      </c>
    </row>
    <row r="646" spans="2:25" x14ac:dyDescent="0.25">
      <c r="B646" s="1944"/>
      <c r="C646" s="109"/>
      <c r="D646" s="109"/>
      <c r="E646" s="109"/>
      <c r="F646" s="109"/>
      <c r="G646" s="78"/>
      <c r="H646" s="118" t="s">
        <v>2912</v>
      </c>
      <c r="I646" s="81" t="s">
        <v>75</v>
      </c>
      <c r="J646" s="93"/>
      <c r="K646" s="82">
        <v>0</v>
      </c>
      <c r="L646" s="152"/>
      <c r="M646" s="84">
        <v>23</v>
      </c>
      <c r="N646" s="152"/>
      <c r="O646" s="150">
        <v>5</v>
      </c>
      <c r="P646" s="111"/>
      <c r="Q646" s="150">
        <v>5</v>
      </c>
      <c r="R646" s="152"/>
      <c r="S646" s="150">
        <v>5</v>
      </c>
      <c r="T646" s="152"/>
      <c r="U646" s="150">
        <v>0</v>
      </c>
      <c r="V646" s="152"/>
      <c r="W646" s="86"/>
      <c r="X646" s="89"/>
      <c r="Y646" s="661" t="s">
        <v>1374</v>
      </c>
    </row>
    <row r="647" spans="2:25" ht="25.5" x14ac:dyDescent="0.25">
      <c r="B647" s="1944"/>
      <c r="C647" s="109"/>
      <c r="D647" s="109"/>
      <c r="E647" s="109"/>
      <c r="F647" s="109"/>
      <c r="G647" s="78"/>
      <c r="H647" s="118" t="s">
        <v>2913</v>
      </c>
      <c r="I647" s="81" t="s">
        <v>75</v>
      </c>
      <c r="J647" s="93"/>
      <c r="K647" s="82">
        <v>0</v>
      </c>
      <c r="L647" s="152"/>
      <c r="M647" s="84">
        <v>4</v>
      </c>
      <c r="N647" s="152"/>
      <c r="O647" s="150">
        <v>4</v>
      </c>
      <c r="P647" s="112"/>
      <c r="Q647" s="153">
        <v>4</v>
      </c>
      <c r="R647" s="152"/>
      <c r="S647" s="150">
        <v>4</v>
      </c>
      <c r="T647" s="152"/>
      <c r="U647" s="150">
        <v>1</v>
      </c>
      <c r="V647" s="152"/>
      <c r="W647" s="86"/>
      <c r="X647" s="89"/>
      <c r="Y647" s="661" t="s">
        <v>1374</v>
      </c>
    </row>
    <row r="648" spans="2:25" ht="25.5" x14ac:dyDescent="0.25">
      <c r="B648" s="1944"/>
      <c r="C648" s="109"/>
      <c r="D648" s="109"/>
      <c r="E648" s="109"/>
      <c r="F648" s="109"/>
      <c r="G648" s="78"/>
      <c r="H648" s="118" t="s">
        <v>2914</v>
      </c>
      <c r="I648" s="81" t="s">
        <v>75</v>
      </c>
      <c r="J648" s="93"/>
      <c r="K648" s="82">
        <v>0</v>
      </c>
      <c r="L648" s="152"/>
      <c r="M648" s="84">
        <v>3</v>
      </c>
      <c r="N648" s="152"/>
      <c r="O648" s="150">
        <v>2</v>
      </c>
      <c r="P648" s="112"/>
      <c r="Q648" s="153">
        <v>2</v>
      </c>
      <c r="R648" s="152"/>
      <c r="S648" s="150">
        <v>2</v>
      </c>
      <c r="T648" s="152"/>
      <c r="U648" s="150">
        <v>2</v>
      </c>
      <c r="V648" s="152"/>
      <c r="W648" s="86"/>
      <c r="X648" s="89"/>
      <c r="Y648" s="661" t="s">
        <v>1374</v>
      </c>
    </row>
    <row r="649" spans="2:25" x14ac:dyDescent="0.25">
      <c r="B649" s="1944"/>
      <c r="C649" s="109"/>
      <c r="D649" s="109"/>
      <c r="E649" s="109"/>
      <c r="F649" s="109"/>
      <c r="G649" s="78"/>
      <c r="H649" s="118" t="s">
        <v>2915</v>
      </c>
      <c r="I649" s="81" t="s">
        <v>75</v>
      </c>
      <c r="J649" s="93"/>
      <c r="K649" s="82">
        <v>0</v>
      </c>
      <c r="L649" s="152"/>
      <c r="M649" s="84">
        <v>1</v>
      </c>
      <c r="N649" s="152"/>
      <c r="O649" s="150">
        <v>0</v>
      </c>
      <c r="P649" s="111"/>
      <c r="Q649" s="150">
        <v>1</v>
      </c>
      <c r="R649" s="152"/>
      <c r="S649" s="150">
        <v>1</v>
      </c>
      <c r="T649" s="152"/>
      <c r="U649" s="150">
        <v>0</v>
      </c>
      <c r="V649" s="152"/>
      <c r="W649" s="86"/>
      <c r="X649" s="89"/>
      <c r="Y649" s="661" t="s">
        <v>1374</v>
      </c>
    </row>
    <row r="650" spans="2:25" x14ac:dyDescent="0.25">
      <c r="B650" s="1944"/>
      <c r="C650" s="109"/>
      <c r="D650" s="109"/>
      <c r="E650" s="109"/>
      <c r="F650" s="109"/>
      <c r="G650" s="78"/>
      <c r="H650" s="118" t="s">
        <v>2094</v>
      </c>
      <c r="I650" s="81" t="s">
        <v>75</v>
      </c>
      <c r="J650" s="93"/>
      <c r="K650" s="82">
        <v>0</v>
      </c>
      <c r="L650" s="152"/>
      <c r="M650" s="84">
        <v>5</v>
      </c>
      <c r="N650" s="152"/>
      <c r="O650" s="150">
        <v>0</v>
      </c>
      <c r="P650" s="111"/>
      <c r="Q650" s="150">
        <v>4</v>
      </c>
      <c r="R650" s="152"/>
      <c r="S650" s="150">
        <v>0</v>
      </c>
      <c r="T650" s="152"/>
      <c r="U650" s="150">
        <v>0</v>
      </c>
      <c r="V650" s="152"/>
      <c r="W650" s="86"/>
      <c r="X650" s="89"/>
      <c r="Y650" s="661" t="s">
        <v>1374</v>
      </c>
    </row>
    <row r="651" spans="2:25" x14ac:dyDescent="0.25">
      <c r="B651" s="1944"/>
      <c r="C651" s="109"/>
      <c r="D651" s="109"/>
      <c r="E651" s="109"/>
      <c r="F651" s="109"/>
      <c r="G651" s="78"/>
      <c r="H651" s="118" t="s">
        <v>2916</v>
      </c>
      <c r="I651" s="81" t="s">
        <v>75</v>
      </c>
      <c r="J651" s="93"/>
      <c r="K651" s="82">
        <v>0</v>
      </c>
      <c r="L651" s="152"/>
      <c r="M651" s="150">
        <v>10</v>
      </c>
      <c r="N651" s="152"/>
      <c r="O651" s="150">
        <v>0</v>
      </c>
      <c r="P651" s="112"/>
      <c r="Q651" s="153">
        <v>10</v>
      </c>
      <c r="R651" s="152"/>
      <c r="S651" s="150">
        <v>10</v>
      </c>
      <c r="T651" s="152"/>
      <c r="U651" s="150">
        <v>0</v>
      </c>
      <c r="V651" s="152"/>
      <c r="W651" s="86"/>
      <c r="X651" s="89"/>
      <c r="Y651" s="661" t="s">
        <v>1374</v>
      </c>
    </row>
    <row r="652" spans="2:25" ht="25.5" x14ac:dyDescent="0.25">
      <c r="B652" s="1944"/>
      <c r="C652" s="109"/>
      <c r="D652" s="109"/>
      <c r="E652" s="109"/>
      <c r="F652" s="109"/>
      <c r="G652" s="78"/>
      <c r="H652" s="118" t="s">
        <v>2917</v>
      </c>
      <c r="I652" s="81" t="s">
        <v>75</v>
      </c>
      <c r="J652" s="93"/>
      <c r="K652" s="82">
        <v>0</v>
      </c>
      <c r="L652" s="152"/>
      <c r="M652" s="150">
        <v>1</v>
      </c>
      <c r="N652" s="152"/>
      <c r="O652" s="150">
        <v>1</v>
      </c>
      <c r="P652" s="111"/>
      <c r="Q652" s="150">
        <v>1</v>
      </c>
      <c r="R652" s="152"/>
      <c r="S652" s="150">
        <v>1</v>
      </c>
      <c r="T652" s="152"/>
      <c r="U652" s="150">
        <v>1</v>
      </c>
      <c r="V652" s="152"/>
      <c r="W652" s="86"/>
      <c r="X652" s="89"/>
      <c r="Y652" s="661" t="s">
        <v>1374</v>
      </c>
    </row>
    <row r="653" spans="2:25" x14ac:dyDescent="0.25">
      <c r="B653" s="1944"/>
      <c r="C653" s="109"/>
      <c r="D653" s="109"/>
      <c r="E653" s="109"/>
      <c r="F653" s="109"/>
      <c r="G653" s="78"/>
      <c r="H653" s="118" t="s">
        <v>2918</v>
      </c>
      <c r="I653" s="81"/>
      <c r="J653" s="93"/>
      <c r="K653" s="82">
        <v>0</v>
      </c>
      <c r="L653" s="152"/>
      <c r="M653" s="150">
        <v>0</v>
      </c>
      <c r="N653" s="152"/>
      <c r="O653" s="150">
        <v>2</v>
      </c>
      <c r="P653" s="152"/>
      <c r="Q653" s="150">
        <v>2</v>
      </c>
      <c r="R653" s="152"/>
      <c r="S653" s="150">
        <v>1</v>
      </c>
      <c r="T653" s="152"/>
      <c r="U653" s="150">
        <v>0</v>
      </c>
      <c r="V653" s="152"/>
      <c r="W653" s="86"/>
      <c r="X653" s="89"/>
      <c r="Y653" s="661" t="s">
        <v>1374</v>
      </c>
    </row>
    <row r="654" spans="2:25" ht="25.5" x14ac:dyDescent="0.25">
      <c r="B654" s="1944"/>
      <c r="C654" s="109"/>
      <c r="D654" s="109"/>
      <c r="E654" s="109"/>
      <c r="F654" s="109"/>
      <c r="G654" s="97"/>
      <c r="H654" s="118" t="s">
        <v>2919</v>
      </c>
      <c r="I654" s="81" t="s">
        <v>75</v>
      </c>
      <c r="J654" s="93">
        <v>0</v>
      </c>
      <c r="K654" s="82">
        <v>0</v>
      </c>
      <c r="L654" s="154"/>
      <c r="M654" s="150">
        <v>0</v>
      </c>
      <c r="N654" s="154"/>
      <c r="O654" s="150">
        <v>2</v>
      </c>
      <c r="P654" s="154"/>
      <c r="Q654" s="150">
        <v>2</v>
      </c>
      <c r="R654" s="154"/>
      <c r="S654" s="150">
        <v>2</v>
      </c>
      <c r="T654" s="154"/>
      <c r="U654" s="150">
        <v>2</v>
      </c>
      <c r="V654" s="154"/>
      <c r="W654" s="86"/>
      <c r="X654" s="92"/>
      <c r="Y654" s="661" t="s">
        <v>1374</v>
      </c>
    </row>
    <row r="655" spans="2:25" ht="63.75" x14ac:dyDescent="0.25">
      <c r="B655" s="1944"/>
      <c r="C655" s="109"/>
      <c r="D655" s="109"/>
      <c r="E655" s="109"/>
      <c r="F655" s="109"/>
      <c r="G655" s="76" t="s">
        <v>402</v>
      </c>
      <c r="H655" s="98" t="s">
        <v>2920</v>
      </c>
      <c r="I655" s="81"/>
      <c r="J655" s="93"/>
      <c r="K655" s="93"/>
      <c r="L655" s="121"/>
      <c r="M655" s="93"/>
      <c r="N655" s="154"/>
      <c r="O655" s="93"/>
      <c r="P655" s="116"/>
      <c r="Q655" s="93"/>
      <c r="R655" s="116"/>
      <c r="S655" s="93"/>
      <c r="T655" s="116"/>
      <c r="U655" s="93"/>
      <c r="V655" s="116"/>
      <c r="W655" s="121"/>
      <c r="X655" s="87"/>
      <c r="Y655" s="661" t="s">
        <v>1374</v>
      </c>
    </row>
    <row r="656" spans="2:25" ht="25.5" x14ac:dyDescent="0.25">
      <c r="B656" s="1944"/>
      <c r="C656" s="109"/>
      <c r="D656" s="109"/>
      <c r="E656" s="109"/>
      <c r="F656" s="109"/>
      <c r="G656" s="97"/>
      <c r="H656" s="118" t="s">
        <v>2921</v>
      </c>
      <c r="I656" s="81" t="s">
        <v>2922</v>
      </c>
      <c r="J656" s="93"/>
      <c r="K656" s="93">
        <v>840</v>
      </c>
      <c r="L656" s="121">
        <v>4825950</v>
      </c>
      <c r="M656" s="93">
        <v>0</v>
      </c>
      <c r="N656" s="154"/>
      <c r="O656" s="93">
        <v>0</v>
      </c>
      <c r="P656" s="154"/>
      <c r="Q656" s="93">
        <v>0</v>
      </c>
      <c r="R656" s="154"/>
      <c r="S656" s="93">
        <v>0</v>
      </c>
      <c r="T656" s="154"/>
      <c r="U656" s="93">
        <v>0</v>
      </c>
      <c r="V656" s="154"/>
      <c r="W656" s="121"/>
      <c r="X656" s="87"/>
      <c r="Y656" s="661" t="s">
        <v>1374</v>
      </c>
    </row>
    <row r="657" spans="2:25" ht="38.25" x14ac:dyDescent="0.25">
      <c r="B657" s="1944"/>
      <c r="C657" s="109"/>
      <c r="D657" s="109"/>
      <c r="E657" s="109"/>
      <c r="F657" s="109"/>
      <c r="G657" s="98" t="s">
        <v>2439</v>
      </c>
      <c r="H657" s="80" t="s">
        <v>682</v>
      </c>
      <c r="I657" s="81" t="s">
        <v>40</v>
      </c>
      <c r="J657" s="99" t="s">
        <v>313</v>
      </c>
      <c r="K657" s="99">
        <v>0</v>
      </c>
      <c r="L657" s="99">
        <v>0</v>
      </c>
      <c r="M657" s="80">
        <v>12</v>
      </c>
      <c r="N657" s="96">
        <v>30000</v>
      </c>
      <c r="O657" s="80">
        <v>12</v>
      </c>
      <c r="P657" s="96">
        <v>33000</v>
      </c>
      <c r="Q657" s="80">
        <v>12</v>
      </c>
      <c r="R657" s="96">
        <v>36300</v>
      </c>
      <c r="S657" s="80">
        <v>12</v>
      </c>
      <c r="T657" s="96">
        <v>39930</v>
      </c>
      <c r="U657" s="80">
        <v>12</v>
      </c>
      <c r="V657" s="96">
        <v>43923</v>
      </c>
      <c r="W657" s="86"/>
      <c r="X657" s="87"/>
      <c r="Y657" s="661" t="s">
        <v>1374</v>
      </c>
    </row>
    <row r="658" spans="2:25" ht="51" x14ac:dyDescent="0.25">
      <c r="B658" s="1944"/>
      <c r="C658" s="109"/>
      <c r="D658" s="109"/>
      <c r="E658" s="109"/>
      <c r="F658" s="109"/>
      <c r="G658" s="98" t="s">
        <v>2923</v>
      </c>
      <c r="H658" s="80" t="s">
        <v>2924</v>
      </c>
      <c r="I658" s="81" t="s">
        <v>40</v>
      </c>
      <c r="J658" s="99" t="s">
        <v>313</v>
      </c>
      <c r="K658" s="99">
        <v>0</v>
      </c>
      <c r="L658" s="99">
        <v>0</v>
      </c>
      <c r="M658" s="99">
        <v>0</v>
      </c>
      <c r="N658" s="155">
        <v>0</v>
      </c>
      <c r="O658" s="80">
        <v>12</v>
      </c>
      <c r="P658" s="96">
        <v>10000</v>
      </c>
      <c r="Q658" s="80">
        <v>12</v>
      </c>
      <c r="R658" s="96">
        <v>11000</v>
      </c>
      <c r="S658" s="80">
        <v>12</v>
      </c>
      <c r="T658" s="96">
        <v>12100</v>
      </c>
      <c r="U658" s="80">
        <v>12</v>
      </c>
      <c r="V658" s="96">
        <v>13310</v>
      </c>
      <c r="W658" s="86"/>
      <c r="X658" s="87"/>
      <c r="Y658" s="661" t="s">
        <v>1374</v>
      </c>
    </row>
    <row r="659" spans="2:25" ht="25.5" x14ac:dyDescent="0.25">
      <c r="B659" s="1944"/>
      <c r="C659" s="109"/>
      <c r="D659" s="109"/>
      <c r="E659" s="109"/>
      <c r="F659" s="109"/>
      <c r="G659" s="98" t="s">
        <v>2925</v>
      </c>
      <c r="H659" s="80" t="s">
        <v>2926</v>
      </c>
      <c r="I659" s="81" t="s">
        <v>40</v>
      </c>
      <c r="J659" s="99">
        <v>0</v>
      </c>
      <c r="K659" s="99">
        <v>0</v>
      </c>
      <c r="L659" s="99">
        <v>0</v>
      </c>
      <c r="M659" s="80">
        <v>12</v>
      </c>
      <c r="N659" s="96">
        <v>10000</v>
      </c>
      <c r="O659" s="80">
        <v>12</v>
      </c>
      <c r="P659" s="96">
        <v>11000</v>
      </c>
      <c r="Q659" s="80">
        <v>12</v>
      </c>
      <c r="R659" s="96">
        <v>12100</v>
      </c>
      <c r="S659" s="80">
        <v>12</v>
      </c>
      <c r="T659" s="96">
        <v>13310</v>
      </c>
      <c r="U659" s="80">
        <v>12</v>
      </c>
      <c r="V659" s="96">
        <v>14641</v>
      </c>
      <c r="W659" s="86"/>
      <c r="X659" s="87"/>
      <c r="Y659" s="661" t="s">
        <v>1374</v>
      </c>
    </row>
    <row r="660" spans="2:25" ht="48" x14ac:dyDescent="0.25">
      <c r="B660" s="1944"/>
      <c r="C660" s="109"/>
      <c r="D660" s="109"/>
      <c r="E660" s="109"/>
      <c r="F660" s="205"/>
      <c r="G660" s="124" t="s">
        <v>1645</v>
      </c>
      <c r="H660" s="124" t="s">
        <v>3141</v>
      </c>
      <c r="I660" s="135" t="s">
        <v>79</v>
      </c>
      <c r="J660" s="431">
        <v>0</v>
      </c>
      <c r="K660" s="136">
        <v>1</v>
      </c>
      <c r="L660" s="432">
        <f>SUM(L661)</f>
        <v>20000</v>
      </c>
      <c r="M660" s="432">
        <v>1</v>
      </c>
      <c r="N660" s="432">
        <f>SUM(N661)</f>
        <v>20000</v>
      </c>
      <c r="O660" s="432">
        <v>1</v>
      </c>
      <c r="P660" s="432">
        <f>SUM(P661)</f>
        <v>22000</v>
      </c>
      <c r="Q660" s="432">
        <v>1</v>
      </c>
      <c r="R660" s="432">
        <f>SUM(R661)</f>
        <v>24200</v>
      </c>
      <c r="S660" s="432">
        <v>1</v>
      </c>
      <c r="T660" s="432">
        <f>SUM(T661)</f>
        <v>26620</v>
      </c>
      <c r="U660" s="432">
        <v>1</v>
      </c>
      <c r="V660" s="432">
        <f>SUM(V661)</f>
        <v>29282</v>
      </c>
      <c r="W660" s="129">
        <v>6</v>
      </c>
      <c r="X660" s="143"/>
      <c r="Y660" s="661" t="s">
        <v>1374</v>
      </c>
    </row>
    <row r="661" spans="2:25" ht="63.75" x14ac:dyDescent="0.25">
      <c r="B661" s="1944"/>
      <c r="C661" s="109"/>
      <c r="D661" s="109"/>
      <c r="E661" s="109"/>
      <c r="F661" s="109"/>
      <c r="G661" s="98" t="s">
        <v>2927</v>
      </c>
      <c r="H661" s="98" t="s">
        <v>2928</v>
      </c>
      <c r="I661" s="81" t="s">
        <v>79</v>
      </c>
      <c r="J661" s="99">
        <v>0</v>
      </c>
      <c r="K661" s="93">
        <v>1</v>
      </c>
      <c r="L661" s="95">
        <v>20000</v>
      </c>
      <c r="M661" s="93">
        <v>1</v>
      </c>
      <c r="N661" s="95">
        <v>20000</v>
      </c>
      <c r="O661" s="93">
        <v>1</v>
      </c>
      <c r="P661" s="96">
        <v>22000</v>
      </c>
      <c r="Q661" s="93">
        <v>1</v>
      </c>
      <c r="R661" s="96">
        <v>24200</v>
      </c>
      <c r="S661" s="93">
        <v>1</v>
      </c>
      <c r="T661" s="96">
        <v>26620</v>
      </c>
      <c r="U661" s="93">
        <v>1</v>
      </c>
      <c r="V661" s="96">
        <v>29282</v>
      </c>
      <c r="W661" s="86"/>
      <c r="X661" s="87"/>
      <c r="Y661" s="661" t="s">
        <v>1374</v>
      </c>
    </row>
    <row r="662" spans="2:25" ht="72" x14ac:dyDescent="0.25">
      <c r="B662" s="1944"/>
      <c r="C662" s="109"/>
      <c r="D662" s="109"/>
      <c r="E662" s="109"/>
      <c r="F662" s="205"/>
      <c r="G662" s="124" t="s">
        <v>77</v>
      </c>
      <c r="H662" s="124" t="s">
        <v>78</v>
      </c>
      <c r="I662" s="135" t="s">
        <v>79</v>
      </c>
      <c r="J662" s="136">
        <v>25</v>
      </c>
      <c r="K662" s="136">
        <v>7</v>
      </c>
      <c r="L662" s="433">
        <f>SUM(L663)</f>
        <v>57000</v>
      </c>
      <c r="M662" s="125">
        <v>7</v>
      </c>
      <c r="N662" s="433">
        <f>SUM(N663)</f>
        <v>74000</v>
      </c>
      <c r="O662" s="125">
        <v>7</v>
      </c>
      <c r="P662" s="433">
        <f>SUM(P663)</f>
        <v>81400</v>
      </c>
      <c r="Q662" s="433">
        <v>7</v>
      </c>
      <c r="R662" s="433">
        <f>SUM(R663)</f>
        <v>89540</v>
      </c>
      <c r="S662" s="433">
        <v>7</v>
      </c>
      <c r="T662" s="433">
        <f>SUM(T663)</f>
        <v>98494</v>
      </c>
      <c r="U662" s="433">
        <v>7</v>
      </c>
      <c r="V662" s="433">
        <f>SUM(V663)</f>
        <v>108343.4</v>
      </c>
      <c r="W662" s="129">
        <v>42</v>
      </c>
      <c r="X662" s="143"/>
      <c r="Y662" s="661" t="s">
        <v>1374</v>
      </c>
    </row>
    <row r="663" spans="2:25" ht="76.5" x14ac:dyDescent="0.25">
      <c r="B663" s="1944"/>
      <c r="C663" s="109"/>
      <c r="D663" s="109"/>
      <c r="E663" s="109"/>
      <c r="F663" s="131"/>
      <c r="G663" s="98" t="s">
        <v>80</v>
      </c>
      <c r="H663" s="98" t="s">
        <v>2929</v>
      </c>
      <c r="I663" s="81" t="s">
        <v>79</v>
      </c>
      <c r="J663" s="93"/>
      <c r="K663" s="93">
        <v>7</v>
      </c>
      <c r="L663" s="96">
        <v>57000</v>
      </c>
      <c r="M663" s="93">
        <v>7</v>
      </c>
      <c r="N663" s="96">
        <v>74000</v>
      </c>
      <c r="O663" s="93">
        <v>7</v>
      </c>
      <c r="P663" s="96">
        <v>81400</v>
      </c>
      <c r="Q663" s="93">
        <v>7</v>
      </c>
      <c r="R663" s="96">
        <v>89540</v>
      </c>
      <c r="S663" s="93">
        <v>7</v>
      </c>
      <c r="T663" s="96">
        <v>98494</v>
      </c>
      <c r="U663" s="93">
        <v>7</v>
      </c>
      <c r="V663" s="96">
        <v>108343.4</v>
      </c>
      <c r="W663" s="86"/>
      <c r="X663" s="87"/>
      <c r="Y663" s="661" t="s">
        <v>1374</v>
      </c>
    </row>
    <row r="664" spans="2:25" ht="48" x14ac:dyDescent="0.25">
      <c r="B664" s="1944"/>
      <c r="C664" s="109"/>
      <c r="D664" s="109"/>
      <c r="E664" s="109"/>
      <c r="F664" s="205"/>
      <c r="G664" s="124" t="s">
        <v>688</v>
      </c>
      <c r="H664" s="124" t="s">
        <v>3744</v>
      </c>
      <c r="I664" s="135" t="s">
        <v>19</v>
      </c>
      <c r="J664" s="142">
        <v>100</v>
      </c>
      <c r="K664" s="142">
        <v>100</v>
      </c>
      <c r="L664" s="427">
        <f>SUM(L665)</f>
        <v>205000</v>
      </c>
      <c r="M664" s="142">
        <v>100</v>
      </c>
      <c r="N664" s="427">
        <f>SUM(N665)</f>
        <v>220000</v>
      </c>
      <c r="O664" s="142">
        <v>100</v>
      </c>
      <c r="P664" s="427">
        <f>SUM(P665)</f>
        <v>242000</v>
      </c>
      <c r="Q664" s="142">
        <v>100</v>
      </c>
      <c r="R664" s="427">
        <f>SUM(R665)</f>
        <v>266200</v>
      </c>
      <c r="S664" s="142">
        <v>100</v>
      </c>
      <c r="T664" s="427">
        <f>SUM(T665)</f>
        <v>450000</v>
      </c>
      <c r="U664" s="142">
        <v>100</v>
      </c>
      <c r="V664" s="427">
        <f>SUM(V665)</f>
        <v>495000</v>
      </c>
      <c r="W664" s="129">
        <v>100</v>
      </c>
      <c r="X664" s="143"/>
      <c r="Y664" s="661" t="s">
        <v>1374</v>
      </c>
    </row>
    <row r="665" spans="2:25" ht="63.75" x14ac:dyDescent="0.25">
      <c r="B665" s="1945"/>
      <c r="C665" s="131"/>
      <c r="D665" s="131"/>
      <c r="E665" s="131"/>
      <c r="F665" s="120"/>
      <c r="G665" s="98" t="s">
        <v>2155</v>
      </c>
      <c r="H665" s="98" t="s">
        <v>2839</v>
      </c>
      <c r="I665" s="81" t="s">
        <v>1380</v>
      </c>
      <c r="J665" s="121">
        <v>9</v>
      </c>
      <c r="K665" s="121">
        <v>9</v>
      </c>
      <c r="L665" s="121">
        <v>205000</v>
      </c>
      <c r="M665" s="121">
        <v>9</v>
      </c>
      <c r="N665" s="122">
        <v>220000</v>
      </c>
      <c r="O665" s="121">
        <v>9</v>
      </c>
      <c r="P665" s="96">
        <v>242000</v>
      </c>
      <c r="Q665" s="121">
        <v>9</v>
      </c>
      <c r="R665" s="96">
        <v>266200</v>
      </c>
      <c r="S665" s="121">
        <v>9</v>
      </c>
      <c r="T665" s="121">
        <v>450000</v>
      </c>
      <c r="U665" s="121">
        <v>9</v>
      </c>
      <c r="V665" s="96">
        <v>495000</v>
      </c>
      <c r="W665" s="86">
        <v>54</v>
      </c>
      <c r="X665" s="87"/>
      <c r="Y665" s="661" t="s">
        <v>1374</v>
      </c>
    </row>
    <row r="666" spans="2:25" ht="15.75" customHeight="1" thickBot="1" x14ac:dyDescent="0.3">
      <c r="B666" s="1970" t="s">
        <v>3179</v>
      </c>
      <c r="C666" s="1971"/>
      <c r="D666" s="1971"/>
      <c r="E666" s="1971"/>
      <c r="F666" s="1971"/>
      <c r="G666" s="665"/>
      <c r="H666" s="665"/>
      <c r="I666" s="665"/>
      <c r="J666" s="665"/>
      <c r="K666" s="666"/>
      <c r="L666" s="156">
        <f>SUM(L497:L665)/2</f>
        <v>23250523</v>
      </c>
      <c r="M666" s="157"/>
      <c r="N666" s="156">
        <f>SUM(N497:N665)/2</f>
        <v>24755372</v>
      </c>
      <c r="O666" s="157"/>
      <c r="P666" s="156">
        <f>SUM(P497:P665)/2</f>
        <v>26910809.200000003</v>
      </c>
      <c r="Q666" s="157"/>
      <c r="R666" s="156">
        <f>SUM(R497:R665)/2</f>
        <v>29175890.120000005</v>
      </c>
      <c r="S666" s="157"/>
      <c r="T666" s="156">
        <f>SUM(T497:T665)/2</f>
        <v>32510659.132000003</v>
      </c>
      <c r="U666" s="158"/>
      <c r="V666" s="156">
        <f>SUM(V497:V665)/2</f>
        <v>31955275.045199994</v>
      </c>
      <c r="W666" s="158"/>
      <c r="X666" s="159"/>
      <c r="Y666" s="159"/>
    </row>
    <row r="667" spans="2:25" ht="13.5" thickTop="1" x14ac:dyDescent="0.25">
      <c r="L667" s="654"/>
    </row>
    <row r="668" spans="2:25" ht="13.5" thickBot="1" x14ac:dyDescent="0.3">
      <c r="B668" s="196" t="s">
        <v>2967</v>
      </c>
    </row>
    <row r="669" spans="2:25" s="219" customFormat="1" thickTop="1" x14ac:dyDescent="0.2">
      <c r="B669" s="1932" t="s">
        <v>1</v>
      </c>
      <c r="C669" s="1934" t="s">
        <v>2</v>
      </c>
      <c r="D669" s="1934" t="s">
        <v>3</v>
      </c>
      <c r="E669" s="1934" t="s">
        <v>4</v>
      </c>
      <c r="F669" s="1934" t="s">
        <v>5</v>
      </c>
      <c r="G669" s="1934" t="s">
        <v>6</v>
      </c>
      <c r="H669" s="1934" t="s">
        <v>1854</v>
      </c>
      <c r="I669" s="1934" t="s">
        <v>31</v>
      </c>
      <c r="J669" s="1936" t="s">
        <v>1855</v>
      </c>
      <c r="K669" s="1934" t="s">
        <v>7</v>
      </c>
      <c r="L669" s="1934"/>
      <c r="M669" s="1934"/>
      <c r="N669" s="1934"/>
      <c r="O669" s="1934"/>
      <c r="P669" s="1934"/>
      <c r="Q669" s="1934"/>
      <c r="R669" s="1934"/>
      <c r="S669" s="1934"/>
      <c r="T669" s="1934"/>
      <c r="U669" s="1934"/>
      <c r="V669" s="1934"/>
      <c r="W669" s="1934"/>
      <c r="X669" s="1934" t="s">
        <v>8</v>
      </c>
      <c r="Y669" s="1938" t="s">
        <v>1856</v>
      </c>
    </row>
    <row r="670" spans="2:25" s="219" customFormat="1" ht="12" x14ac:dyDescent="0.2">
      <c r="B670" s="1933"/>
      <c r="C670" s="1935"/>
      <c r="D670" s="1935"/>
      <c r="E670" s="1935"/>
      <c r="F670" s="1935"/>
      <c r="G670" s="1935"/>
      <c r="H670" s="1935"/>
      <c r="I670" s="1935"/>
      <c r="J670" s="1937"/>
      <c r="K670" s="1935">
        <v>2016</v>
      </c>
      <c r="L670" s="1935"/>
      <c r="M670" s="1935">
        <v>2017</v>
      </c>
      <c r="N670" s="1935"/>
      <c r="O670" s="1935">
        <v>2018</v>
      </c>
      <c r="P670" s="1935"/>
      <c r="Q670" s="1935">
        <v>2019</v>
      </c>
      <c r="R670" s="1935"/>
      <c r="S670" s="1935">
        <v>2020</v>
      </c>
      <c r="T670" s="1935"/>
      <c r="U670" s="1935">
        <v>2021</v>
      </c>
      <c r="V670" s="1935"/>
      <c r="W670" s="1940" t="s">
        <v>1857</v>
      </c>
      <c r="X670" s="1935"/>
      <c r="Y670" s="1939"/>
    </row>
    <row r="671" spans="2:25" s="219" customFormat="1" ht="12" x14ac:dyDescent="0.2">
      <c r="B671" s="1933"/>
      <c r="C671" s="1935"/>
      <c r="D671" s="1935"/>
      <c r="E671" s="1935"/>
      <c r="F671" s="1935"/>
      <c r="G671" s="1935"/>
      <c r="H671" s="1935"/>
      <c r="I671" s="1935"/>
      <c r="J671" s="1937"/>
      <c r="K671" s="707" t="s">
        <v>1858</v>
      </c>
      <c r="L671" s="1889" t="s">
        <v>1355</v>
      </c>
      <c r="M671" s="844" t="s">
        <v>1858</v>
      </c>
      <c r="N671" s="1889" t="s">
        <v>1355</v>
      </c>
      <c r="O671" s="844" t="s">
        <v>1858</v>
      </c>
      <c r="P671" s="1889" t="s">
        <v>1355</v>
      </c>
      <c r="Q671" s="844" t="s">
        <v>1858</v>
      </c>
      <c r="R671" s="1889" t="s">
        <v>1355</v>
      </c>
      <c r="S671" s="844" t="s">
        <v>1858</v>
      </c>
      <c r="T671" s="1889" t="s">
        <v>1355</v>
      </c>
      <c r="U671" s="844" t="s">
        <v>1858</v>
      </c>
      <c r="V671" s="1889" t="s">
        <v>1355</v>
      </c>
      <c r="W671" s="1940"/>
      <c r="X671" s="1935"/>
      <c r="Y671" s="1939"/>
    </row>
    <row r="672" spans="2:25" s="210" customFormat="1" ht="48" customHeight="1" x14ac:dyDescent="0.25">
      <c r="B672" s="1972" t="s">
        <v>1357</v>
      </c>
      <c r="C672" s="1974" t="s">
        <v>4092</v>
      </c>
      <c r="D672" s="1974" t="s">
        <v>4035</v>
      </c>
      <c r="E672" s="1862" t="s">
        <v>4093</v>
      </c>
      <c r="F672" s="1863" t="s">
        <v>4094</v>
      </c>
      <c r="G672" s="685"/>
      <c r="H672" s="1863"/>
      <c r="I672" s="1864" t="s">
        <v>2558</v>
      </c>
      <c r="J672" s="1865">
        <v>43132</v>
      </c>
      <c r="K672" s="1866">
        <f>J672+K673</f>
        <v>43532</v>
      </c>
      <c r="L672" s="1867"/>
      <c r="M672" s="1866">
        <f>K672+M673</f>
        <v>43957</v>
      </c>
      <c r="N672" s="1867"/>
      <c r="O672" s="1866">
        <f>M672+O673</f>
        <v>44407</v>
      </c>
      <c r="P672" s="1867"/>
      <c r="Q672" s="1866">
        <f>O672+Q673</f>
        <v>44907</v>
      </c>
      <c r="R672" s="1867"/>
      <c r="S672" s="1866">
        <f>Q672+S673</f>
        <v>45457</v>
      </c>
      <c r="T672" s="1867"/>
      <c r="U672" s="1866">
        <f>S672+U673</f>
        <v>46007</v>
      </c>
      <c r="V672" s="1867"/>
      <c r="W672" s="1868">
        <f>J672+W673</f>
        <v>46007</v>
      </c>
      <c r="X672" s="1869"/>
      <c r="Y672" s="1870" t="s">
        <v>1433</v>
      </c>
    </row>
    <row r="673" spans="2:25" s="210" customFormat="1" ht="48" x14ac:dyDescent="0.25">
      <c r="B673" s="1973"/>
      <c r="C673" s="1975"/>
      <c r="D673" s="1975"/>
      <c r="E673" s="679"/>
      <c r="F673" s="1862"/>
      <c r="G673" s="1863" t="s">
        <v>1434</v>
      </c>
      <c r="H673" s="1863" t="s">
        <v>1431</v>
      </c>
      <c r="I673" s="1864" t="s">
        <v>2558</v>
      </c>
      <c r="J673" s="1865">
        <v>43132</v>
      </c>
      <c r="K673" s="1866">
        <v>400</v>
      </c>
      <c r="L673" s="1867">
        <f>SUM(L674:L677)</f>
        <v>760000</v>
      </c>
      <c r="M673" s="1866">
        <v>425</v>
      </c>
      <c r="N673" s="1867">
        <f>SUM(N674:N677)</f>
        <v>1085000</v>
      </c>
      <c r="O673" s="1866">
        <v>450</v>
      </c>
      <c r="P673" s="1867">
        <f>SUM(P674:P677)</f>
        <v>1203500</v>
      </c>
      <c r="Q673" s="1866">
        <v>500</v>
      </c>
      <c r="R673" s="1867">
        <f>SUM(R674:R677)</f>
        <v>1278850</v>
      </c>
      <c r="S673" s="1866">
        <v>550</v>
      </c>
      <c r="T673" s="1867">
        <f>SUM(T674:T677)</f>
        <v>1411735</v>
      </c>
      <c r="U673" s="1866">
        <v>550</v>
      </c>
      <c r="V673" s="1867">
        <f>SUM(V674:V677)</f>
        <v>1501909</v>
      </c>
      <c r="W673" s="1868">
        <f>U673+S673+Q673+O673+M673+K673</f>
        <v>2875</v>
      </c>
      <c r="X673" s="1869"/>
      <c r="Y673" s="1870" t="s">
        <v>1433</v>
      </c>
    </row>
    <row r="674" spans="2:25" ht="76.5" x14ac:dyDescent="0.25">
      <c r="B674" s="1973"/>
      <c r="C674" s="1975"/>
      <c r="D674" s="1975"/>
      <c r="E674" s="679"/>
      <c r="F674" s="679"/>
      <c r="G674" s="681" t="s">
        <v>2930</v>
      </c>
      <c r="H674" s="454" t="s">
        <v>2931</v>
      </c>
      <c r="I674" s="683" t="s">
        <v>219</v>
      </c>
      <c r="J674" s="684"/>
      <c r="K674" s="465">
        <v>4</v>
      </c>
      <c r="L674" s="459">
        <v>310000</v>
      </c>
      <c r="M674" s="465">
        <v>4</v>
      </c>
      <c r="N674" s="459">
        <v>400000</v>
      </c>
      <c r="O674" s="465">
        <v>4</v>
      </c>
      <c r="P674" s="459">
        <v>450000</v>
      </c>
      <c r="Q674" s="465">
        <v>4</v>
      </c>
      <c r="R674" s="446">
        <v>450000</v>
      </c>
      <c r="S674" s="445">
        <v>4</v>
      </c>
      <c r="T674" s="446">
        <v>500000</v>
      </c>
      <c r="U674" s="445">
        <v>4</v>
      </c>
      <c r="V674" s="446">
        <v>500000</v>
      </c>
      <c r="W674" s="186"/>
      <c r="X674" s="447"/>
      <c r="Y674" s="439" t="s">
        <v>1433</v>
      </c>
    </row>
    <row r="675" spans="2:25" ht="51" x14ac:dyDescent="0.25">
      <c r="B675" s="1973"/>
      <c r="C675" s="1975"/>
      <c r="D675" s="1975"/>
      <c r="E675" s="679"/>
      <c r="F675" s="679"/>
      <c r="G675" s="680" t="s">
        <v>2932</v>
      </c>
      <c r="H675" s="443" t="s">
        <v>2933</v>
      </c>
      <c r="I675" s="448" t="s">
        <v>100</v>
      </c>
      <c r="J675" s="187"/>
      <c r="K675" s="1199">
        <v>200</v>
      </c>
      <c r="L675" s="1200">
        <v>300000</v>
      </c>
      <c r="M675" s="1199">
        <v>200</v>
      </c>
      <c r="N675" s="1200">
        <v>535000</v>
      </c>
      <c r="O675" s="1199">
        <v>200</v>
      </c>
      <c r="P675" s="1200">
        <v>588500</v>
      </c>
      <c r="Q675" s="1199">
        <v>200</v>
      </c>
      <c r="R675" s="1200">
        <v>647350</v>
      </c>
      <c r="S675" s="1199">
        <v>200</v>
      </c>
      <c r="T675" s="1200">
        <v>712085</v>
      </c>
      <c r="U675" s="1199">
        <v>200</v>
      </c>
      <c r="V675" s="1200">
        <v>782294</v>
      </c>
      <c r="W675" s="1201"/>
      <c r="X675" s="447"/>
      <c r="Y675" s="439" t="s">
        <v>1433</v>
      </c>
    </row>
    <row r="676" spans="2:25" ht="51" x14ac:dyDescent="0.25">
      <c r="B676" s="1973"/>
      <c r="C676" s="1975"/>
      <c r="D676" s="359"/>
      <c r="E676" s="679"/>
      <c r="F676" s="679"/>
      <c r="G676" s="680"/>
      <c r="H676" s="1202" t="s">
        <v>3750</v>
      </c>
      <c r="I676" s="1203" t="s">
        <v>100</v>
      </c>
      <c r="J676" s="187"/>
      <c r="K676" s="1199"/>
      <c r="L676" s="1200"/>
      <c r="M676" s="1199">
        <v>75</v>
      </c>
      <c r="N676" s="1200"/>
      <c r="O676" s="1199">
        <v>75</v>
      </c>
      <c r="P676" s="1200"/>
      <c r="Q676" s="1199">
        <v>75</v>
      </c>
      <c r="R676" s="1200"/>
      <c r="S676" s="1199">
        <v>75</v>
      </c>
      <c r="T676" s="1200"/>
      <c r="U676" s="1199">
        <v>75</v>
      </c>
      <c r="V676" s="1200"/>
      <c r="W676" s="1201"/>
      <c r="X676" s="447"/>
      <c r="Y676" s="439"/>
    </row>
    <row r="677" spans="2:25" ht="51" x14ac:dyDescent="0.25">
      <c r="B677" s="1973"/>
      <c r="C677" s="442"/>
      <c r="D677" s="442"/>
      <c r="E677" s="679"/>
      <c r="F677" s="679"/>
      <c r="G677" s="680" t="s">
        <v>2934</v>
      </c>
      <c r="H677" s="443" t="s">
        <v>2933</v>
      </c>
      <c r="I677" s="448" t="s">
        <v>100</v>
      </c>
      <c r="J677" s="187"/>
      <c r="K677" s="449">
        <v>75</v>
      </c>
      <c r="L677" s="446">
        <v>150000</v>
      </c>
      <c r="M677" s="1204">
        <v>75</v>
      </c>
      <c r="N677" s="1200">
        <v>150000</v>
      </c>
      <c r="O677" s="1204">
        <v>75</v>
      </c>
      <c r="P677" s="1200">
        <v>165000</v>
      </c>
      <c r="Q677" s="1204">
        <v>75</v>
      </c>
      <c r="R677" s="1200">
        <v>181500</v>
      </c>
      <c r="S677" s="1204">
        <v>75</v>
      </c>
      <c r="T677" s="1200">
        <v>199650</v>
      </c>
      <c r="U677" s="449">
        <v>75</v>
      </c>
      <c r="V677" s="446">
        <v>219615</v>
      </c>
      <c r="W677" s="186"/>
      <c r="X677" s="447"/>
      <c r="Y677" s="439" t="s">
        <v>1433</v>
      </c>
    </row>
    <row r="678" spans="2:25" s="1219" customFormat="1" ht="36" x14ac:dyDescent="0.25">
      <c r="B678" s="1209"/>
      <c r="C678" s="1210"/>
      <c r="D678" s="1210"/>
      <c r="E678" s="1210"/>
      <c r="F678" s="1211"/>
      <c r="G678" s="1212" t="s">
        <v>1435</v>
      </c>
      <c r="H678" s="1212" t="s">
        <v>1431</v>
      </c>
      <c r="I678" s="1213" t="s">
        <v>2558</v>
      </c>
      <c r="J678" s="1214">
        <v>43132</v>
      </c>
      <c r="K678" s="1215">
        <v>400</v>
      </c>
      <c r="L678" s="1216">
        <f>SUM(L679:L681)</f>
        <v>80000</v>
      </c>
      <c r="M678" s="1215">
        <v>425</v>
      </c>
      <c r="N678" s="1216">
        <f>SUM(N679:N681)</f>
        <v>3230000</v>
      </c>
      <c r="O678" s="1215">
        <v>450</v>
      </c>
      <c r="P678" s="1216">
        <f>SUM(P679:P681)</f>
        <v>942720</v>
      </c>
      <c r="Q678" s="1215">
        <v>500</v>
      </c>
      <c r="R678" s="1216">
        <f>SUM(R679:R681)</f>
        <v>1036992</v>
      </c>
      <c r="S678" s="1215">
        <v>550</v>
      </c>
      <c r="T678" s="1216">
        <f>SUM(T679:T681)</f>
        <v>1123122</v>
      </c>
      <c r="U678" s="1215">
        <v>550</v>
      </c>
      <c r="V678" s="1216">
        <f>SUM(V679:V681)</f>
        <v>1217865</v>
      </c>
      <c r="W678" s="1217">
        <f>U678+S678+Q678+O678+M678+K678</f>
        <v>2875</v>
      </c>
      <c r="X678" s="1218"/>
      <c r="Y678" s="1218" t="s">
        <v>1433</v>
      </c>
    </row>
    <row r="679" spans="2:25" ht="51" x14ac:dyDescent="0.25">
      <c r="B679" s="689"/>
      <c r="C679" s="442"/>
      <c r="D679" s="442"/>
      <c r="E679" s="679"/>
      <c r="F679" s="679"/>
      <c r="G679" s="680" t="s">
        <v>2935</v>
      </c>
      <c r="H679" s="443" t="s">
        <v>2936</v>
      </c>
      <c r="I679" s="448" t="s">
        <v>100</v>
      </c>
      <c r="J679" s="187"/>
      <c r="K679" s="445">
        <v>0</v>
      </c>
      <c r="L679" s="452">
        <v>0</v>
      </c>
      <c r="M679" s="1205">
        <v>175</v>
      </c>
      <c r="N679" s="1200">
        <v>150000</v>
      </c>
      <c r="O679" s="1202">
        <v>200</v>
      </c>
      <c r="P679" s="1200">
        <v>159720</v>
      </c>
      <c r="Q679" s="1202">
        <v>250</v>
      </c>
      <c r="R679" s="1200">
        <v>175692</v>
      </c>
      <c r="S679" s="1202">
        <v>250</v>
      </c>
      <c r="T679" s="446">
        <v>175692</v>
      </c>
      <c r="U679" s="443">
        <v>250</v>
      </c>
      <c r="V679" s="446">
        <v>175692</v>
      </c>
      <c r="W679" s="186"/>
      <c r="X679" s="447"/>
      <c r="Y679" s="439" t="s">
        <v>1433</v>
      </c>
    </row>
    <row r="680" spans="2:25" ht="63.75" x14ac:dyDescent="0.25">
      <c r="B680" s="689"/>
      <c r="C680" s="442"/>
      <c r="D680" s="442"/>
      <c r="E680" s="679"/>
      <c r="F680" s="679"/>
      <c r="G680" s="1965" t="s">
        <v>3751</v>
      </c>
      <c r="H680" s="1202" t="s">
        <v>3753</v>
      </c>
      <c r="I680" s="444" t="s">
        <v>100</v>
      </c>
      <c r="J680" s="455"/>
      <c r="K680" s="1206">
        <v>222</v>
      </c>
      <c r="L680" s="1207">
        <v>80000</v>
      </c>
      <c r="M680" s="1206">
        <v>5000</v>
      </c>
      <c r="N680" s="1208">
        <v>3080000</v>
      </c>
      <c r="O680" s="1206">
        <v>2000</v>
      </c>
      <c r="P680" s="1208">
        <v>783000</v>
      </c>
      <c r="Q680" s="1206">
        <v>2000</v>
      </c>
      <c r="R680" s="1208">
        <v>861300</v>
      </c>
      <c r="S680" s="1206">
        <v>2000</v>
      </c>
      <c r="T680" s="1208">
        <v>947430</v>
      </c>
      <c r="U680" s="1206">
        <v>2000</v>
      </c>
      <c r="V680" s="1208">
        <v>1042173</v>
      </c>
      <c r="W680" s="186"/>
      <c r="X680" s="457"/>
      <c r="Y680" s="439" t="s">
        <v>1433</v>
      </c>
    </row>
    <row r="681" spans="2:25" ht="38.25" x14ac:dyDescent="0.25">
      <c r="B681" s="689"/>
      <c r="C681" s="442"/>
      <c r="D681" s="442"/>
      <c r="E681" s="679"/>
      <c r="F681" s="679"/>
      <c r="G681" s="1967"/>
      <c r="H681" s="443" t="s">
        <v>3752</v>
      </c>
      <c r="I681" s="444" t="s">
        <v>100</v>
      </c>
      <c r="J681" s="455"/>
      <c r="K681" s="453">
        <v>25</v>
      </c>
      <c r="L681" s="458">
        <v>0</v>
      </c>
      <c r="M681" s="453">
        <v>25</v>
      </c>
      <c r="N681" s="459">
        <v>0</v>
      </c>
      <c r="O681" s="453">
        <v>25</v>
      </c>
      <c r="P681" s="459">
        <v>0</v>
      </c>
      <c r="Q681" s="453">
        <v>25</v>
      </c>
      <c r="R681" s="459">
        <v>0</v>
      </c>
      <c r="S681" s="453">
        <v>25</v>
      </c>
      <c r="T681" s="459">
        <v>0</v>
      </c>
      <c r="U681" s="453">
        <v>25</v>
      </c>
      <c r="V681" s="459">
        <v>0</v>
      </c>
      <c r="W681" s="186"/>
      <c r="X681" s="460"/>
      <c r="Y681" s="439" t="s">
        <v>1433</v>
      </c>
    </row>
    <row r="682" spans="2:25" s="1219" customFormat="1" ht="36" x14ac:dyDescent="0.25">
      <c r="B682" s="1209"/>
      <c r="C682" s="1210"/>
      <c r="D682" s="1210"/>
      <c r="E682" s="1210"/>
      <c r="F682" s="1211"/>
      <c r="G682" s="1220" t="s">
        <v>1436</v>
      </c>
      <c r="H682" s="1212" t="s">
        <v>1431</v>
      </c>
      <c r="I682" s="1213" t="s">
        <v>2558</v>
      </c>
      <c r="J682" s="1214">
        <v>43132</v>
      </c>
      <c r="K682" s="1215">
        <v>400</v>
      </c>
      <c r="L682" s="1223">
        <f>SUM(L684:L687)</f>
        <v>445250</v>
      </c>
      <c r="M682" s="1215">
        <v>425</v>
      </c>
      <c r="N682" s="1223">
        <f>SUM(N684:N687)</f>
        <v>977250</v>
      </c>
      <c r="O682" s="1215">
        <v>450</v>
      </c>
      <c r="P682" s="1223">
        <f>SUM(P684:P687)</f>
        <v>264825</v>
      </c>
      <c r="Q682" s="1215">
        <v>500</v>
      </c>
      <c r="R682" s="1223">
        <f>SUM(R684:R687)</f>
        <v>291308</v>
      </c>
      <c r="S682" s="1215">
        <v>550</v>
      </c>
      <c r="T682" s="1223">
        <f>SUM(T684:T687)</f>
        <v>320439</v>
      </c>
      <c r="U682" s="1215">
        <v>550</v>
      </c>
      <c r="V682" s="1223">
        <f>SUM(V684:V687)</f>
        <v>345894</v>
      </c>
      <c r="W682" s="1217">
        <f>U682+S682+Q682+O682+M682+K682</f>
        <v>2875</v>
      </c>
      <c r="X682" s="1218"/>
      <c r="Y682" s="1218" t="s">
        <v>1433</v>
      </c>
    </row>
    <row r="683" spans="2:25" s="1219" customFormat="1" ht="36" x14ac:dyDescent="0.25">
      <c r="B683" s="1209"/>
      <c r="C683" s="1210"/>
      <c r="D683" s="1210"/>
      <c r="E683" s="1210"/>
      <c r="F683" s="1211"/>
      <c r="G683" s="1235"/>
      <c r="H683" s="1212" t="s">
        <v>3749</v>
      </c>
      <c r="I683" s="1213" t="s">
        <v>1413</v>
      </c>
      <c r="J683" s="1214"/>
      <c r="K683" s="1215">
        <v>0</v>
      </c>
      <c r="L683" s="1224"/>
      <c r="M683" s="1215">
        <v>1</v>
      </c>
      <c r="N683" s="1224"/>
      <c r="O683" s="1215"/>
      <c r="P683" s="1224"/>
      <c r="Q683" s="1215"/>
      <c r="R683" s="1224"/>
      <c r="S683" s="1215"/>
      <c r="T683" s="1224"/>
      <c r="U683" s="1215"/>
      <c r="V683" s="1224"/>
      <c r="W683" s="1217">
        <v>1</v>
      </c>
      <c r="X683" s="1225" t="s">
        <v>3755</v>
      </c>
      <c r="Y683" s="1218" t="s">
        <v>1433</v>
      </c>
    </row>
    <row r="684" spans="2:25" ht="102" x14ac:dyDescent="0.25">
      <c r="B684" s="689"/>
      <c r="C684" s="442"/>
      <c r="D684" s="442"/>
      <c r="E684" s="679"/>
      <c r="F684" s="679"/>
      <c r="G684" s="680" t="s">
        <v>2937</v>
      </c>
      <c r="H684" s="443" t="s">
        <v>2938</v>
      </c>
      <c r="I684" s="444" t="s">
        <v>1432</v>
      </c>
      <c r="J684" s="455"/>
      <c r="K684" s="443">
        <v>150</v>
      </c>
      <c r="L684" s="446">
        <v>50000</v>
      </c>
      <c r="M684" s="1202">
        <v>150</v>
      </c>
      <c r="N684" s="1200">
        <v>64000</v>
      </c>
      <c r="O684" s="1202">
        <v>175</v>
      </c>
      <c r="P684" s="1200">
        <v>70400</v>
      </c>
      <c r="Q684" s="1202">
        <v>200</v>
      </c>
      <c r="R684" s="1200">
        <v>77440</v>
      </c>
      <c r="S684" s="1202">
        <v>200</v>
      </c>
      <c r="T684" s="1200">
        <v>85184</v>
      </c>
      <c r="U684" s="1202">
        <v>200</v>
      </c>
      <c r="V684" s="1200">
        <v>93702</v>
      </c>
      <c r="W684" s="186"/>
      <c r="X684" s="447"/>
      <c r="Y684" s="439" t="s">
        <v>1433</v>
      </c>
    </row>
    <row r="685" spans="2:25" ht="89.25" x14ac:dyDescent="0.25">
      <c r="B685" s="689"/>
      <c r="C685" s="442"/>
      <c r="D685" s="442"/>
      <c r="E685" s="679"/>
      <c r="F685" s="679"/>
      <c r="G685" s="688" t="s">
        <v>2939</v>
      </c>
      <c r="H685" s="443" t="s">
        <v>2940</v>
      </c>
      <c r="I685" s="444" t="s">
        <v>1432</v>
      </c>
      <c r="J685" s="455"/>
      <c r="K685" s="443">
        <v>50</v>
      </c>
      <c r="L685" s="446">
        <v>45000</v>
      </c>
      <c r="M685" s="443">
        <v>50</v>
      </c>
      <c r="N685" s="456">
        <v>786000</v>
      </c>
      <c r="O685" s="443">
        <v>50</v>
      </c>
      <c r="P685" s="446">
        <v>54450</v>
      </c>
      <c r="Q685" s="443">
        <v>70</v>
      </c>
      <c r="R685" s="446">
        <v>59895</v>
      </c>
      <c r="S685" s="443">
        <v>70</v>
      </c>
      <c r="T685" s="446">
        <v>65885</v>
      </c>
      <c r="U685" s="443">
        <v>70</v>
      </c>
      <c r="V685" s="446">
        <v>65885</v>
      </c>
      <c r="W685" s="186"/>
      <c r="X685" s="447"/>
      <c r="Y685" s="439" t="s">
        <v>1433</v>
      </c>
    </row>
    <row r="686" spans="2:25" ht="51" x14ac:dyDescent="0.25">
      <c r="B686" s="689"/>
      <c r="C686" s="442"/>
      <c r="D686" s="442"/>
      <c r="E686" s="679"/>
      <c r="F686" s="679"/>
      <c r="G686" s="681"/>
      <c r="H686" s="1202" t="s">
        <v>3754</v>
      </c>
      <c r="I686" s="1222" t="s">
        <v>75</v>
      </c>
      <c r="J686" s="455"/>
      <c r="K686" s="443"/>
      <c r="L686" s="446"/>
      <c r="M686" s="1202">
        <v>1</v>
      </c>
      <c r="N686" s="459"/>
      <c r="O686" s="443"/>
      <c r="P686" s="446"/>
      <c r="Q686" s="443"/>
      <c r="R686" s="446"/>
      <c r="S686" s="443"/>
      <c r="T686" s="446"/>
      <c r="U686" s="443"/>
      <c r="V686" s="446"/>
      <c r="W686" s="186"/>
      <c r="X686" s="1221" t="s">
        <v>3755</v>
      </c>
      <c r="Y686" s="439"/>
    </row>
    <row r="687" spans="2:25" ht="51" x14ac:dyDescent="0.25">
      <c r="B687" s="689"/>
      <c r="C687" s="442"/>
      <c r="D687" s="442"/>
      <c r="E687" s="679"/>
      <c r="F687" s="679"/>
      <c r="G687" s="680" t="s">
        <v>2941</v>
      </c>
      <c r="H687" s="443" t="s">
        <v>2942</v>
      </c>
      <c r="I687" s="444" t="s">
        <v>100</v>
      </c>
      <c r="J687" s="455"/>
      <c r="K687" s="443">
        <v>225</v>
      </c>
      <c r="L687" s="446">
        <v>350250</v>
      </c>
      <c r="M687" s="1202">
        <v>50</v>
      </c>
      <c r="N687" s="1200">
        <v>127250</v>
      </c>
      <c r="O687" s="1202">
        <v>50</v>
      </c>
      <c r="P687" s="1200">
        <v>139975</v>
      </c>
      <c r="Q687" s="1202">
        <v>75</v>
      </c>
      <c r="R687" s="1200">
        <v>153973</v>
      </c>
      <c r="S687" s="1202">
        <v>100</v>
      </c>
      <c r="T687" s="1200">
        <v>169370</v>
      </c>
      <c r="U687" s="1202">
        <v>125</v>
      </c>
      <c r="V687" s="1200">
        <v>186307</v>
      </c>
      <c r="W687" s="1201"/>
      <c r="X687" s="447"/>
      <c r="Y687" s="439" t="s">
        <v>1433</v>
      </c>
    </row>
    <row r="688" spans="2:25" x14ac:dyDescent="0.25">
      <c r="B688" s="689"/>
      <c r="C688" s="442"/>
      <c r="D688" s="442"/>
      <c r="E688" s="680"/>
      <c r="F688" s="680"/>
      <c r="G688" s="680"/>
      <c r="H688" s="443"/>
      <c r="I688" s="444"/>
      <c r="J688" s="455"/>
      <c r="K688" s="443"/>
      <c r="L688" s="446"/>
      <c r="M688" s="1202"/>
      <c r="N688" s="1200"/>
      <c r="O688" s="1202"/>
      <c r="P688" s="1200"/>
      <c r="Q688" s="1202"/>
      <c r="R688" s="1200"/>
      <c r="S688" s="1202"/>
      <c r="T688" s="1200"/>
      <c r="U688" s="1202"/>
      <c r="V688" s="1200"/>
      <c r="W688" s="1201"/>
      <c r="X688" s="447"/>
      <c r="Y688" s="439"/>
    </row>
    <row r="689" spans="2:25" s="210" customFormat="1" ht="36" x14ac:dyDescent="0.25">
      <c r="B689" s="1871"/>
      <c r="C689" s="679"/>
      <c r="D689" s="679"/>
      <c r="E689" s="1863" t="s">
        <v>4095</v>
      </c>
      <c r="F689" s="1863" t="s">
        <v>1437</v>
      </c>
      <c r="G689" s="680"/>
      <c r="H689" s="680"/>
      <c r="I689" s="1864" t="s">
        <v>19</v>
      </c>
      <c r="J689" s="1874">
        <v>78</v>
      </c>
      <c r="K689" s="1875">
        <v>80</v>
      </c>
      <c r="L689" s="1867"/>
      <c r="M689" s="1875">
        <v>82</v>
      </c>
      <c r="N689" s="1867"/>
      <c r="O689" s="1875">
        <v>85</v>
      </c>
      <c r="P689" s="1867"/>
      <c r="Q689" s="1875">
        <v>88</v>
      </c>
      <c r="R689" s="1867"/>
      <c r="S689" s="1875">
        <v>90</v>
      </c>
      <c r="T689" s="1867"/>
      <c r="U689" s="1875">
        <v>92</v>
      </c>
      <c r="V689" s="1867"/>
      <c r="W689" s="1876">
        <v>92</v>
      </c>
      <c r="X689" s="1872"/>
      <c r="Y689" s="1870" t="s">
        <v>1433</v>
      </c>
    </row>
    <row r="690" spans="2:25" s="210" customFormat="1" ht="48" x14ac:dyDescent="0.25">
      <c r="B690" s="1871"/>
      <c r="C690" s="679"/>
      <c r="D690" s="679"/>
      <c r="E690" s="679"/>
      <c r="F690" s="1873"/>
      <c r="G690" s="1863" t="s">
        <v>1438</v>
      </c>
      <c r="H690" s="1863" t="s">
        <v>4096</v>
      </c>
      <c r="I690" s="1864" t="s">
        <v>19</v>
      </c>
      <c r="J690" s="1877"/>
      <c r="K690" s="1878"/>
      <c r="L690" s="1867">
        <f>SUM(L691:L702)</f>
        <v>816693</v>
      </c>
      <c r="M690" s="1878"/>
      <c r="N690" s="1867">
        <f>SUM(N691:N702)</f>
        <v>945747</v>
      </c>
      <c r="O690" s="1878"/>
      <c r="P690" s="1867">
        <f>SUM(P691:P702)</f>
        <v>1281555</v>
      </c>
      <c r="Q690" s="1878"/>
      <c r="R690" s="1867">
        <f>SUM(R691:R702)</f>
        <v>1450611</v>
      </c>
      <c r="S690" s="1878"/>
      <c r="T690" s="1867">
        <f>SUM(T691:T702)</f>
        <v>1551472</v>
      </c>
      <c r="U690" s="1878"/>
      <c r="V690" s="1867">
        <f>SUM(V691:V702)</f>
        <v>1692769</v>
      </c>
      <c r="W690" s="1878"/>
      <c r="X690" s="1870"/>
      <c r="Y690" s="1870" t="s">
        <v>1433</v>
      </c>
    </row>
    <row r="691" spans="2:25" ht="89.25" x14ac:dyDescent="0.25">
      <c r="B691" s="689"/>
      <c r="C691" s="442"/>
      <c r="D691" s="442"/>
      <c r="E691" s="679"/>
      <c r="F691" s="682"/>
      <c r="G691" s="1965" t="s">
        <v>2943</v>
      </c>
      <c r="H691" s="1202" t="s">
        <v>3756</v>
      </c>
      <c r="I691" s="1222" t="s">
        <v>100</v>
      </c>
      <c r="J691" s="1226"/>
      <c r="K691" s="1227">
        <v>30</v>
      </c>
      <c r="L691" s="1208">
        <v>266693</v>
      </c>
      <c r="M691" s="1206">
        <v>60</v>
      </c>
      <c r="N691" s="1208">
        <v>270447</v>
      </c>
      <c r="O691" s="1206">
        <v>60</v>
      </c>
      <c r="P691" s="1208">
        <v>447000</v>
      </c>
      <c r="Q691" s="1206">
        <v>60</v>
      </c>
      <c r="R691" s="1208">
        <v>491700</v>
      </c>
      <c r="S691" s="1206">
        <v>60</v>
      </c>
      <c r="T691" s="1208">
        <v>540870</v>
      </c>
      <c r="U691" s="1206">
        <v>60</v>
      </c>
      <c r="V691" s="1208">
        <v>594957</v>
      </c>
      <c r="W691" s="1201"/>
      <c r="X691" s="457"/>
      <c r="Y691" s="439" t="s">
        <v>1433</v>
      </c>
    </row>
    <row r="692" spans="2:25" ht="38.25" x14ac:dyDescent="0.25">
      <c r="B692" s="689"/>
      <c r="C692" s="442"/>
      <c r="D692" s="442"/>
      <c r="E692" s="679"/>
      <c r="F692" s="682"/>
      <c r="G692" s="1966"/>
      <c r="H692" s="1202" t="s">
        <v>3757</v>
      </c>
      <c r="I692" s="1222" t="s">
        <v>79</v>
      </c>
      <c r="J692" s="1226"/>
      <c r="K692" s="1227">
        <v>0</v>
      </c>
      <c r="L692" s="1228">
        <v>0</v>
      </c>
      <c r="M692" s="1206">
        <v>1</v>
      </c>
      <c r="N692" s="1228">
        <v>0</v>
      </c>
      <c r="O692" s="1206">
        <v>1</v>
      </c>
      <c r="P692" s="1228">
        <v>0</v>
      </c>
      <c r="Q692" s="1206">
        <v>1</v>
      </c>
      <c r="R692" s="1228">
        <v>0</v>
      </c>
      <c r="S692" s="1206">
        <v>1</v>
      </c>
      <c r="T692" s="1228">
        <v>0</v>
      </c>
      <c r="U692" s="1206">
        <v>1</v>
      </c>
      <c r="V692" s="1228">
        <v>0</v>
      </c>
      <c r="W692" s="1201"/>
      <c r="X692" s="460"/>
      <c r="Y692" s="439" t="s">
        <v>1433</v>
      </c>
    </row>
    <row r="693" spans="2:25" ht="76.5" x14ac:dyDescent="0.25">
      <c r="B693" s="689"/>
      <c r="C693" s="442"/>
      <c r="D693" s="442"/>
      <c r="E693" s="679"/>
      <c r="F693" s="682"/>
      <c r="G693" s="680" t="s">
        <v>2944</v>
      </c>
      <c r="H693" s="443" t="s">
        <v>2945</v>
      </c>
      <c r="I693" s="444" t="s">
        <v>100</v>
      </c>
      <c r="J693" s="187"/>
      <c r="K693" s="445">
        <v>30</v>
      </c>
      <c r="L693" s="445">
        <v>30000</v>
      </c>
      <c r="M693" s="445">
        <v>40</v>
      </c>
      <c r="N693" s="1205">
        <v>40000</v>
      </c>
      <c r="O693" s="445">
        <v>50</v>
      </c>
      <c r="P693" s="445">
        <v>36300</v>
      </c>
      <c r="Q693" s="445">
        <v>60</v>
      </c>
      <c r="R693" s="445">
        <v>39930</v>
      </c>
      <c r="S693" s="445">
        <v>70</v>
      </c>
      <c r="T693" s="445">
        <v>43923</v>
      </c>
      <c r="U693" s="445">
        <v>70</v>
      </c>
      <c r="V693" s="445">
        <v>43923</v>
      </c>
      <c r="W693" s="186"/>
      <c r="X693" s="447"/>
      <c r="Y693" s="439" t="s">
        <v>1433</v>
      </c>
    </row>
    <row r="694" spans="2:25" ht="63.75" x14ac:dyDescent="0.25">
      <c r="B694" s="689"/>
      <c r="C694" s="442"/>
      <c r="D694" s="442"/>
      <c r="E694" s="679"/>
      <c r="F694" s="682"/>
      <c r="G694" s="1965" t="s">
        <v>2946</v>
      </c>
      <c r="H694" s="443" t="s">
        <v>3759</v>
      </c>
      <c r="I694" s="444" t="s">
        <v>100</v>
      </c>
      <c r="J694" s="187"/>
      <c r="K694" s="461">
        <v>30</v>
      </c>
      <c r="L694" s="462">
        <v>347000</v>
      </c>
      <c r="M694" s="461">
        <v>30</v>
      </c>
      <c r="N694" s="1233">
        <v>415000</v>
      </c>
      <c r="O694" s="1227">
        <v>30</v>
      </c>
      <c r="P694" s="1233">
        <v>515000</v>
      </c>
      <c r="Q694" s="1227">
        <v>30</v>
      </c>
      <c r="R694" s="1233">
        <v>566500</v>
      </c>
      <c r="S694" s="1227">
        <v>30</v>
      </c>
      <c r="T694" s="1233">
        <v>623150</v>
      </c>
      <c r="U694" s="1227">
        <v>30</v>
      </c>
      <c r="V694" s="1233">
        <v>685465</v>
      </c>
      <c r="W694" s="186"/>
      <c r="X694" s="457"/>
      <c r="Y694" s="439" t="s">
        <v>1433</v>
      </c>
    </row>
    <row r="695" spans="2:25" ht="51" x14ac:dyDescent="0.25">
      <c r="B695" s="689"/>
      <c r="C695" s="442"/>
      <c r="D695" s="442"/>
      <c r="E695" s="679"/>
      <c r="F695" s="682"/>
      <c r="G695" s="1966"/>
      <c r="H695" s="1202" t="s">
        <v>3760</v>
      </c>
      <c r="I695" s="444" t="s">
        <v>100</v>
      </c>
      <c r="J695" s="187"/>
      <c r="K695" s="461">
        <v>30</v>
      </c>
      <c r="L695" s="463">
        <v>0</v>
      </c>
      <c r="M695" s="461">
        <v>30</v>
      </c>
      <c r="N695" s="463">
        <v>0</v>
      </c>
      <c r="O695" s="1227">
        <v>90</v>
      </c>
      <c r="P695" s="1229">
        <v>0</v>
      </c>
      <c r="Q695" s="1227">
        <v>90</v>
      </c>
      <c r="R695" s="1229">
        <v>0</v>
      </c>
      <c r="S695" s="1227">
        <v>90</v>
      </c>
      <c r="T695" s="1229">
        <v>0</v>
      </c>
      <c r="U695" s="1227">
        <v>90</v>
      </c>
      <c r="V695" s="463">
        <v>0</v>
      </c>
      <c r="W695" s="186"/>
      <c r="X695" s="464"/>
      <c r="Y695" s="439" t="s">
        <v>1433</v>
      </c>
    </row>
    <row r="696" spans="2:25" ht="25.5" x14ac:dyDescent="0.25">
      <c r="B696" s="689"/>
      <c r="C696" s="442"/>
      <c r="D696" s="442"/>
      <c r="E696" s="679"/>
      <c r="F696" s="682"/>
      <c r="G696" s="1966"/>
      <c r="H696" s="443" t="s">
        <v>3758</v>
      </c>
      <c r="I696" s="444" t="s">
        <v>100</v>
      </c>
      <c r="J696" s="187"/>
      <c r="K696" s="461">
        <v>30</v>
      </c>
      <c r="L696" s="463">
        <v>0</v>
      </c>
      <c r="M696" s="461">
        <v>30</v>
      </c>
      <c r="N696" s="463">
        <v>0</v>
      </c>
      <c r="O696" s="461">
        <v>30</v>
      </c>
      <c r="P696" s="463">
        <v>0</v>
      </c>
      <c r="Q696" s="461">
        <v>30</v>
      </c>
      <c r="R696" s="463">
        <v>0</v>
      </c>
      <c r="S696" s="461">
        <v>30</v>
      </c>
      <c r="T696" s="463">
        <v>0</v>
      </c>
      <c r="U696" s="461">
        <v>30</v>
      </c>
      <c r="V696" s="463">
        <v>0</v>
      </c>
      <c r="W696" s="186"/>
      <c r="X696" s="464"/>
      <c r="Y696" s="439" t="s">
        <v>1433</v>
      </c>
    </row>
    <row r="697" spans="2:25" ht="38.25" x14ac:dyDescent="0.25">
      <c r="B697" s="689"/>
      <c r="C697" s="442"/>
      <c r="D697" s="442"/>
      <c r="E697" s="679"/>
      <c r="F697" s="682"/>
      <c r="G697" s="1967"/>
      <c r="H697" s="1202" t="s">
        <v>3761</v>
      </c>
      <c r="I697" s="1222" t="s">
        <v>100</v>
      </c>
      <c r="J697" s="1230"/>
      <c r="K697" s="1227">
        <v>0</v>
      </c>
      <c r="L697" s="1231">
        <v>0</v>
      </c>
      <c r="M697" s="1227">
        <v>90</v>
      </c>
      <c r="N697" s="1231">
        <v>0</v>
      </c>
      <c r="O697" s="1227">
        <v>90</v>
      </c>
      <c r="P697" s="1231">
        <v>0</v>
      </c>
      <c r="Q697" s="1227">
        <v>90</v>
      </c>
      <c r="R697" s="1231">
        <v>0</v>
      </c>
      <c r="S697" s="1227">
        <v>90</v>
      </c>
      <c r="T697" s="1231">
        <v>0</v>
      </c>
      <c r="U697" s="1227">
        <v>90</v>
      </c>
      <c r="V697" s="1231">
        <v>0</v>
      </c>
      <c r="W697" s="186"/>
      <c r="X697" s="460"/>
      <c r="Y697" s="439" t="s">
        <v>1433</v>
      </c>
    </row>
    <row r="698" spans="2:25" ht="102" x14ac:dyDescent="0.25">
      <c r="B698" s="689"/>
      <c r="C698" s="442"/>
      <c r="D698" s="442"/>
      <c r="E698" s="679"/>
      <c r="F698" s="682"/>
      <c r="G698" s="688" t="s">
        <v>2947</v>
      </c>
      <c r="H698" s="443" t="s">
        <v>2948</v>
      </c>
      <c r="I698" s="444" t="s">
        <v>2949</v>
      </c>
      <c r="J698" s="455"/>
      <c r="K698" s="443">
        <v>30</v>
      </c>
      <c r="L698" s="446">
        <v>20000</v>
      </c>
      <c r="M698" s="443">
        <v>30</v>
      </c>
      <c r="N698" s="446">
        <v>22000</v>
      </c>
      <c r="O698" s="443">
        <v>30</v>
      </c>
      <c r="P698" s="446">
        <v>24200</v>
      </c>
      <c r="Q698" s="443">
        <v>30</v>
      </c>
      <c r="R698" s="446">
        <v>26620</v>
      </c>
      <c r="S698" s="443">
        <v>30</v>
      </c>
      <c r="T698" s="446">
        <v>29282</v>
      </c>
      <c r="U698" s="443">
        <v>30</v>
      </c>
      <c r="V698" s="446">
        <v>29282</v>
      </c>
      <c r="W698" s="186"/>
      <c r="X698" s="447"/>
      <c r="Y698" s="439" t="s">
        <v>1433</v>
      </c>
    </row>
    <row r="699" spans="2:25" ht="51" x14ac:dyDescent="0.25">
      <c r="B699" s="689"/>
      <c r="C699" s="442"/>
      <c r="D699" s="442"/>
      <c r="E699" s="679"/>
      <c r="F699" s="682"/>
      <c r="G699" s="681"/>
      <c r="H699" s="1202" t="s">
        <v>3762</v>
      </c>
      <c r="I699" s="1222" t="s">
        <v>100</v>
      </c>
      <c r="J699" s="1226"/>
      <c r="K699" s="1202"/>
      <c r="L699" s="1200"/>
      <c r="M699" s="1202"/>
      <c r="N699" s="1200"/>
      <c r="O699" s="1202"/>
      <c r="P699" s="1200">
        <v>1000</v>
      </c>
      <c r="Q699" s="1202"/>
      <c r="R699" s="1200">
        <v>2000</v>
      </c>
      <c r="S699" s="1202"/>
      <c r="T699" s="1200">
        <v>2000</v>
      </c>
      <c r="U699" s="1202"/>
      <c r="V699" s="1200">
        <v>2000</v>
      </c>
      <c r="W699" s="1201"/>
      <c r="X699" s="447"/>
      <c r="Y699" s="439"/>
    </row>
    <row r="700" spans="2:25" ht="76.5" x14ac:dyDescent="0.25">
      <c r="B700" s="689"/>
      <c r="C700" s="442"/>
      <c r="D700" s="442"/>
      <c r="E700" s="679"/>
      <c r="F700" s="682"/>
      <c r="G700" s="680" t="s">
        <v>107</v>
      </c>
      <c r="H700" s="443" t="s">
        <v>2950</v>
      </c>
      <c r="I700" s="444" t="s">
        <v>2949</v>
      </c>
      <c r="J700" s="455"/>
      <c r="K700" s="443">
        <v>30</v>
      </c>
      <c r="L700" s="446">
        <v>20500</v>
      </c>
      <c r="M700" s="443">
        <v>30</v>
      </c>
      <c r="N700" s="446">
        <v>22550</v>
      </c>
      <c r="O700" s="443">
        <v>30</v>
      </c>
      <c r="P700" s="446">
        <v>24805</v>
      </c>
      <c r="Q700" s="443">
        <v>30</v>
      </c>
      <c r="R700" s="446">
        <v>27286</v>
      </c>
      <c r="S700" s="443">
        <v>30</v>
      </c>
      <c r="T700" s="446">
        <v>30014</v>
      </c>
      <c r="U700" s="443">
        <v>30</v>
      </c>
      <c r="V700" s="446">
        <v>30014</v>
      </c>
      <c r="W700" s="186"/>
      <c r="X700" s="447"/>
      <c r="Y700" s="439" t="s">
        <v>1433</v>
      </c>
    </row>
    <row r="701" spans="2:25" ht="51" x14ac:dyDescent="0.25">
      <c r="B701" s="689"/>
      <c r="C701" s="442"/>
      <c r="D701" s="442"/>
      <c r="E701" s="679"/>
      <c r="F701" s="682"/>
      <c r="G701" s="680" t="s">
        <v>2951</v>
      </c>
      <c r="H701" s="443" t="s">
        <v>2952</v>
      </c>
      <c r="I701" s="444" t="s">
        <v>100</v>
      </c>
      <c r="J701" s="455"/>
      <c r="K701" s="254">
        <v>0</v>
      </c>
      <c r="L701" s="446">
        <v>0</v>
      </c>
      <c r="M701" s="254">
        <v>0</v>
      </c>
      <c r="N701" s="446">
        <v>0</v>
      </c>
      <c r="O701" s="443">
        <v>30</v>
      </c>
      <c r="P701" s="446">
        <v>27500</v>
      </c>
      <c r="Q701" s="443">
        <v>30</v>
      </c>
      <c r="R701" s="446">
        <v>30250</v>
      </c>
      <c r="S701" s="443">
        <v>30</v>
      </c>
      <c r="T701" s="446">
        <v>33275</v>
      </c>
      <c r="U701" s="443">
        <v>30</v>
      </c>
      <c r="V701" s="446">
        <v>33275</v>
      </c>
      <c r="W701" s="186"/>
      <c r="X701" s="447"/>
      <c r="Y701" s="439" t="s">
        <v>1433</v>
      </c>
    </row>
    <row r="702" spans="2:25" ht="76.5" x14ac:dyDescent="0.25">
      <c r="B702" s="689"/>
      <c r="C702" s="442"/>
      <c r="D702" s="442"/>
      <c r="E702" s="679"/>
      <c r="F702" s="682"/>
      <c r="G702" s="1232" t="s">
        <v>2953</v>
      </c>
      <c r="H702" s="1202" t="s">
        <v>3763</v>
      </c>
      <c r="I702" s="1222" t="s">
        <v>100</v>
      </c>
      <c r="J702" s="1226"/>
      <c r="K702" s="1206">
        <v>120</v>
      </c>
      <c r="L702" s="1200">
        <v>132500</v>
      </c>
      <c r="M702" s="1206">
        <v>130</v>
      </c>
      <c r="N702" s="1200">
        <v>175750</v>
      </c>
      <c r="O702" s="1206">
        <v>160</v>
      </c>
      <c r="P702" s="1200">
        <v>205750</v>
      </c>
      <c r="Q702" s="1206">
        <v>160</v>
      </c>
      <c r="R702" s="1200">
        <v>266325</v>
      </c>
      <c r="S702" s="1206">
        <v>160</v>
      </c>
      <c r="T702" s="1200">
        <v>248958</v>
      </c>
      <c r="U702" s="1206">
        <v>160</v>
      </c>
      <c r="V702" s="1200">
        <v>273853</v>
      </c>
      <c r="W702" s="186"/>
      <c r="X702" s="447"/>
      <c r="Y702" s="439" t="s">
        <v>1433</v>
      </c>
    </row>
    <row r="703" spans="2:25" x14ac:dyDescent="0.25">
      <c r="B703" s="1880"/>
      <c r="C703" s="443"/>
      <c r="D703" s="443"/>
      <c r="E703" s="680"/>
      <c r="F703" s="1881"/>
      <c r="G703" s="1232"/>
      <c r="H703" s="1879"/>
      <c r="I703" s="1222"/>
      <c r="J703" s="1226"/>
      <c r="K703" s="1206"/>
      <c r="L703" s="1200"/>
      <c r="M703" s="1206"/>
      <c r="N703" s="1200"/>
      <c r="O703" s="1206"/>
      <c r="P703" s="1200"/>
      <c r="Q703" s="1206"/>
      <c r="R703" s="1200"/>
      <c r="S703" s="1206"/>
      <c r="T703" s="1200"/>
      <c r="U703" s="1206"/>
      <c r="V703" s="1200"/>
      <c r="W703" s="186"/>
      <c r="X703" s="447"/>
      <c r="Y703" s="439"/>
    </row>
    <row r="704" spans="2:25" ht="60" customHeight="1" x14ac:dyDescent="0.25">
      <c r="B704" s="1972" t="s">
        <v>33</v>
      </c>
      <c r="C704" s="1946" t="s">
        <v>34</v>
      </c>
      <c r="D704" s="1946" t="s">
        <v>3831</v>
      </c>
      <c r="E704" s="1795" t="s">
        <v>3992</v>
      </c>
      <c r="F704" s="1946" t="s">
        <v>3913</v>
      </c>
      <c r="G704" s="38" t="s">
        <v>3133</v>
      </c>
      <c r="H704" s="435"/>
      <c r="I704" s="437" t="s">
        <v>19</v>
      </c>
      <c r="J704" s="466">
        <v>90</v>
      </c>
      <c r="K704" s="436">
        <v>91</v>
      </c>
      <c r="L704" s="467"/>
      <c r="M704" s="436">
        <v>92</v>
      </c>
      <c r="N704" s="467"/>
      <c r="O704" s="436">
        <v>93</v>
      </c>
      <c r="P704" s="467"/>
      <c r="Q704" s="436">
        <v>94</v>
      </c>
      <c r="R704" s="467"/>
      <c r="S704" s="436">
        <v>95</v>
      </c>
      <c r="T704" s="467"/>
      <c r="U704" s="436">
        <v>96</v>
      </c>
      <c r="V704" s="467"/>
      <c r="W704" s="436">
        <v>96</v>
      </c>
      <c r="X704" s="468"/>
      <c r="Y704" s="439" t="s">
        <v>1433</v>
      </c>
    </row>
    <row r="705" spans="2:25" ht="72" x14ac:dyDescent="0.25">
      <c r="B705" s="1973"/>
      <c r="C705" s="1947"/>
      <c r="D705" s="1947"/>
      <c r="E705" s="1796"/>
      <c r="F705" s="1947"/>
      <c r="G705" s="436" t="s">
        <v>121</v>
      </c>
      <c r="H705" s="436" t="s">
        <v>386</v>
      </c>
      <c r="I705" s="437" t="s">
        <v>19</v>
      </c>
      <c r="J705" s="450">
        <v>100</v>
      </c>
      <c r="K705" s="451">
        <v>20</v>
      </c>
      <c r="L705" s="441">
        <f>SUM(L706:L718)</f>
        <v>406811</v>
      </c>
      <c r="M705" s="451">
        <v>20</v>
      </c>
      <c r="N705" s="441">
        <f>SUM(N706:N718)</f>
        <v>447491</v>
      </c>
      <c r="O705" s="451">
        <v>15</v>
      </c>
      <c r="P705" s="441">
        <f>SUM(P706:P718)</f>
        <v>492242</v>
      </c>
      <c r="Q705" s="451">
        <v>15</v>
      </c>
      <c r="R705" s="441">
        <f>SUM(R706:R718)</f>
        <v>541466</v>
      </c>
      <c r="S705" s="451">
        <v>15</v>
      </c>
      <c r="T705" s="441">
        <f>SUM(T706:T718)</f>
        <v>595612</v>
      </c>
      <c r="U705" s="451">
        <v>15</v>
      </c>
      <c r="V705" s="441">
        <f>SUM(V706:V718)</f>
        <v>595612</v>
      </c>
      <c r="W705" s="438">
        <v>100</v>
      </c>
      <c r="X705" s="439"/>
      <c r="Y705" s="439" t="s">
        <v>1433</v>
      </c>
    </row>
    <row r="706" spans="2:25" ht="38.25" x14ac:dyDescent="0.25">
      <c r="B706" s="1973"/>
      <c r="C706" s="442"/>
      <c r="D706" s="442"/>
      <c r="E706" s="442"/>
      <c r="F706" s="442"/>
      <c r="G706" s="443" t="s">
        <v>124</v>
      </c>
      <c r="H706" s="443" t="s">
        <v>2954</v>
      </c>
      <c r="I706" s="444" t="s">
        <v>40</v>
      </c>
      <c r="J706" s="455"/>
      <c r="K706" s="443">
        <v>12</v>
      </c>
      <c r="L706" s="446">
        <v>5344</v>
      </c>
      <c r="M706" s="443">
        <v>12</v>
      </c>
      <c r="N706" s="446">
        <v>5878</v>
      </c>
      <c r="O706" s="443">
        <v>12</v>
      </c>
      <c r="P706" s="446">
        <v>6466</v>
      </c>
      <c r="Q706" s="443">
        <v>12</v>
      </c>
      <c r="R706" s="446">
        <v>7113</v>
      </c>
      <c r="S706" s="443">
        <v>12</v>
      </c>
      <c r="T706" s="446">
        <v>7824</v>
      </c>
      <c r="U706" s="443">
        <v>12</v>
      </c>
      <c r="V706" s="446">
        <v>7824</v>
      </c>
      <c r="W706" s="186"/>
      <c r="X706" s="447"/>
      <c r="Y706" s="439" t="s">
        <v>1433</v>
      </c>
    </row>
    <row r="707" spans="2:25" ht="63.75" x14ac:dyDescent="0.25">
      <c r="B707" s="1973"/>
      <c r="C707" s="442"/>
      <c r="D707" s="442"/>
      <c r="E707" s="442"/>
      <c r="F707" s="442"/>
      <c r="G707" s="443" t="s">
        <v>126</v>
      </c>
      <c r="H707" s="443" t="s">
        <v>2955</v>
      </c>
      <c r="I707" s="444" t="s">
        <v>40</v>
      </c>
      <c r="J707" s="455"/>
      <c r="K707" s="443">
        <v>12</v>
      </c>
      <c r="L707" s="446">
        <v>64800</v>
      </c>
      <c r="M707" s="443">
        <v>12</v>
      </c>
      <c r="N707" s="446">
        <v>71280</v>
      </c>
      <c r="O707" s="443">
        <v>12</v>
      </c>
      <c r="P707" s="446">
        <v>78408</v>
      </c>
      <c r="Q707" s="443">
        <v>12</v>
      </c>
      <c r="R707" s="446">
        <v>86249</v>
      </c>
      <c r="S707" s="443">
        <v>12</v>
      </c>
      <c r="T707" s="446">
        <v>94874</v>
      </c>
      <c r="U707" s="443">
        <v>12</v>
      </c>
      <c r="V707" s="446">
        <v>94874</v>
      </c>
      <c r="W707" s="186"/>
      <c r="X707" s="447"/>
      <c r="Y707" s="439" t="s">
        <v>1433</v>
      </c>
    </row>
    <row r="708" spans="2:25" ht="140.25" x14ac:dyDescent="0.25">
      <c r="B708" s="1973"/>
      <c r="C708" s="442"/>
      <c r="D708" s="442"/>
      <c r="E708" s="442"/>
      <c r="F708" s="442"/>
      <c r="G708" s="443" t="s">
        <v>43</v>
      </c>
      <c r="H708" s="443" t="s">
        <v>2956</v>
      </c>
      <c r="I708" s="444" t="s">
        <v>40</v>
      </c>
      <c r="J708" s="455"/>
      <c r="K708" s="443">
        <v>12</v>
      </c>
      <c r="L708" s="446">
        <v>83323</v>
      </c>
      <c r="M708" s="443">
        <v>12</v>
      </c>
      <c r="N708" s="446">
        <v>91655</v>
      </c>
      <c r="O708" s="443">
        <v>12</v>
      </c>
      <c r="P708" s="446">
        <v>100821</v>
      </c>
      <c r="Q708" s="443">
        <v>12</v>
      </c>
      <c r="R708" s="446">
        <v>110903</v>
      </c>
      <c r="S708" s="443">
        <v>12</v>
      </c>
      <c r="T708" s="446">
        <v>121993</v>
      </c>
      <c r="U708" s="443">
        <v>12</v>
      </c>
      <c r="V708" s="446">
        <v>121993</v>
      </c>
      <c r="W708" s="186"/>
      <c r="X708" s="447"/>
      <c r="Y708" s="439" t="s">
        <v>1433</v>
      </c>
    </row>
    <row r="709" spans="2:25" ht="191.25" x14ac:dyDescent="0.25">
      <c r="B709" s="1973"/>
      <c r="C709" s="442"/>
      <c r="D709" s="442"/>
      <c r="E709" s="442"/>
      <c r="F709" s="442"/>
      <c r="G709" s="443" t="s">
        <v>45</v>
      </c>
      <c r="H709" s="443" t="s">
        <v>2957</v>
      </c>
      <c r="I709" s="444" t="s">
        <v>40</v>
      </c>
      <c r="J709" s="455"/>
      <c r="K709" s="443">
        <v>12</v>
      </c>
      <c r="L709" s="446">
        <v>64750</v>
      </c>
      <c r="M709" s="443">
        <v>12</v>
      </c>
      <c r="N709" s="446">
        <v>71225</v>
      </c>
      <c r="O709" s="443">
        <v>12</v>
      </c>
      <c r="P709" s="446">
        <v>78348</v>
      </c>
      <c r="Q709" s="443">
        <v>12</v>
      </c>
      <c r="R709" s="446">
        <v>86182</v>
      </c>
      <c r="S709" s="443">
        <v>12</v>
      </c>
      <c r="T709" s="446">
        <v>94800</v>
      </c>
      <c r="U709" s="443">
        <v>12</v>
      </c>
      <c r="V709" s="446">
        <v>94800</v>
      </c>
      <c r="W709" s="186"/>
      <c r="X709" s="447"/>
      <c r="Y709" s="439" t="s">
        <v>1433</v>
      </c>
    </row>
    <row r="710" spans="2:25" ht="63.75" x14ac:dyDescent="0.25">
      <c r="B710" s="1973"/>
      <c r="C710" s="442"/>
      <c r="D710" s="442"/>
      <c r="E710" s="442"/>
      <c r="F710" s="442"/>
      <c r="G710" s="443" t="s">
        <v>47</v>
      </c>
      <c r="H710" s="443" t="s">
        <v>129</v>
      </c>
      <c r="I710" s="444" t="s">
        <v>40</v>
      </c>
      <c r="J710" s="455"/>
      <c r="K710" s="443">
        <v>12</v>
      </c>
      <c r="L710" s="446">
        <v>11000</v>
      </c>
      <c r="M710" s="443">
        <v>12</v>
      </c>
      <c r="N710" s="446">
        <v>12100</v>
      </c>
      <c r="O710" s="443">
        <v>12</v>
      </c>
      <c r="P710" s="446">
        <v>13310</v>
      </c>
      <c r="Q710" s="443">
        <v>12</v>
      </c>
      <c r="R710" s="446">
        <v>14641</v>
      </c>
      <c r="S710" s="443">
        <v>12</v>
      </c>
      <c r="T710" s="446">
        <v>16105</v>
      </c>
      <c r="U710" s="443">
        <v>12</v>
      </c>
      <c r="V710" s="446">
        <v>16105</v>
      </c>
      <c r="W710" s="186"/>
      <c r="X710" s="447"/>
      <c r="Y710" s="439" t="s">
        <v>1433</v>
      </c>
    </row>
    <row r="711" spans="2:25" ht="63.75" x14ac:dyDescent="0.25">
      <c r="B711" s="1973"/>
      <c r="C711" s="442"/>
      <c r="D711" s="442"/>
      <c r="E711" s="442"/>
      <c r="F711" s="442"/>
      <c r="G711" s="443" t="s">
        <v>130</v>
      </c>
      <c r="H711" s="443" t="s">
        <v>2958</v>
      </c>
      <c r="I711" s="444" t="s">
        <v>40</v>
      </c>
      <c r="J711" s="455"/>
      <c r="K711" s="443">
        <v>12</v>
      </c>
      <c r="L711" s="446">
        <v>11000</v>
      </c>
      <c r="M711" s="443">
        <v>12</v>
      </c>
      <c r="N711" s="446">
        <v>12100</v>
      </c>
      <c r="O711" s="443">
        <v>12</v>
      </c>
      <c r="P711" s="446">
        <v>13310</v>
      </c>
      <c r="Q711" s="443">
        <v>12</v>
      </c>
      <c r="R711" s="446">
        <v>14641</v>
      </c>
      <c r="S711" s="443">
        <v>12</v>
      </c>
      <c r="T711" s="446">
        <v>16105</v>
      </c>
      <c r="U711" s="443">
        <v>12</v>
      </c>
      <c r="V711" s="446">
        <v>16105</v>
      </c>
      <c r="W711" s="186"/>
      <c r="X711" s="447"/>
      <c r="Y711" s="439" t="s">
        <v>1433</v>
      </c>
    </row>
    <row r="712" spans="2:25" ht="38.25" x14ac:dyDescent="0.25">
      <c r="B712" s="1973"/>
      <c r="C712" s="442"/>
      <c r="D712" s="442"/>
      <c r="E712" s="442"/>
      <c r="F712" s="442"/>
      <c r="G712" s="443" t="s">
        <v>50</v>
      </c>
      <c r="H712" s="443" t="s">
        <v>51</v>
      </c>
      <c r="I712" s="444" t="s">
        <v>40</v>
      </c>
      <c r="J712" s="455"/>
      <c r="K712" s="443">
        <v>12</v>
      </c>
      <c r="L712" s="446">
        <v>21000</v>
      </c>
      <c r="M712" s="443">
        <v>12</v>
      </c>
      <c r="N712" s="446">
        <v>23100</v>
      </c>
      <c r="O712" s="443">
        <v>12</v>
      </c>
      <c r="P712" s="446">
        <v>25410</v>
      </c>
      <c r="Q712" s="443">
        <v>12</v>
      </c>
      <c r="R712" s="446">
        <v>27951</v>
      </c>
      <c r="S712" s="443">
        <v>12</v>
      </c>
      <c r="T712" s="446">
        <v>30746</v>
      </c>
      <c r="U712" s="443">
        <v>12</v>
      </c>
      <c r="V712" s="446">
        <v>30746</v>
      </c>
      <c r="W712" s="186"/>
      <c r="X712" s="447"/>
      <c r="Y712" s="439" t="s">
        <v>1433</v>
      </c>
    </row>
    <row r="713" spans="2:25" ht="51" x14ac:dyDescent="0.25">
      <c r="B713" s="1973"/>
      <c r="C713" s="442"/>
      <c r="D713" s="442"/>
      <c r="E713" s="442"/>
      <c r="F713" s="442"/>
      <c r="G713" s="443" t="s">
        <v>52</v>
      </c>
      <c r="H713" s="443" t="s">
        <v>2959</v>
      </c>
      <c r="I713" s="444" t="s">
        <v>40</v>
      </c>
      <c r="J713" s="455"/>
      <c r="K713" s="443">
        <v>12</v>
      </c>
      <c r="L713" s="446">
        <v>13294</v>
      </c>
      <c r="M713" s="443">
        <v>12</v>
      </c>
      <c r="N713" s="446">
        <v>14623</v>
      </c>
      <c r="O713" s="443">
        <v>12</v>
      </c>
      <c r="P713" s="446">
        <v>16086</v>
      </c>
      <c r="Q713" s="443">
        <v>12</v>
      </c>
      <c r="R713" s="446">
        <v>17694</v>
      </c>
      <c r="S713" s="443">
        <v>12</v>
      </c>
      <c r="T713" s="446">
        <v>19464</v>
      </c>
      <c r="U713" s="443">
        <v>12</v>
      </c>
      <c r="V713" s="446">
        <v>19464</v>
      </c>
      <c r="W713" s="186"/>
      <c r="X713" s="447"/>
      <c r="Y713" s="439" t="s">
        <v>1433</v>
      </c>
    </row>
    <row r="714" spans="2:25" ht="51" x14ac:dyDescent="0.25">
      <c r="B714" s="1973"/>
      <c r="C714" s="442"/>
      <c r="D714" s="442"/>
      <c r="E714" s="442"/>
      <c r="F714" s="442"/>
      <c r="G714" s="443" t="s">
        <v>54</v>
      </c>
      <c r="H714" s="443" t="s">
        <v>2960</v>
      </c>
      <c r="I714" s="444" t="s">
        <v>40</v>
      </c>
      <c r="J714" s="455"/>
      <c r="K714" s="443">
        <v>12</v>
      </c>
      <c r="L714" s="446">
        <v>7500</v>
      </c>
      <c r="M714" s="443">
        <v>12</v>
      </c>
      <c r="N714" s="446">
        <v>8250</v>
      </c>
      <c r="O714" s="443">
        <v>12</v>
      </c>
      <c r="P714" s="446">
        <v>9075</v>
      </c>
      <c r="Q714" s="443">
        <v>12</v>
      </c>
      <c r="R714" s="446">
        <v>9983</v>
      </c>
      <c r="S714" s="443">
        <v>12</v>
      </c>
      <c r="T714" s="446">
        <v>10981</v>
      </c>
      <c r="U714" s="443">
        <v>12</v>
      </c>
      <c r="V714" s="446">
        <v>10981</v>
      </c>
      <c r="W714" s="186"/>
      <c r="X714" s="447"/>
      <c r="Y714" s="439" t="s">
        <v>1433</v>
      </c>
    </row>
    <row r="715" spans="2:25" ht="63.75" x14ac:dyDescent="0.25">
      <c r="B715" s="1973"/>
      <c r="C715" s="442"/>
      <c r="D715" s="442"/>
      <c r="E715" s="442"/>
      <c r="F715" s="442"/>
      <c r="G715" s="443" t="s">
        <v>135</v>
      </c>
      <c r="H715" s="443" t="s">
        <v>57</v>
      </c>
      <c r="I715" s="444" t="s">
        <v>40</v>
      </c>
      <c r="J715" s="455"/>
      <c r="K715" s="443">
        <v>12</v>
      </c>
      <c r="L715" s="446">
        <v>2000</v>
      </c>
      <c r="M715" s="443">
        <v>12</v>
      </c>
      <c r="N715" s="446">
        <v>2200</v>
      </c>
      <c r="O715" s="443">
        <v>12</v>
      </c>
      <c r="P715" s="446">
        <v>2420</v>
      </c>
      <c r="Q715" s="443">
        <v>12</v>
      </c>
      <c r="R715" s="446">
        <v>2662</v>
      </c>
      <c r="S715" s="443">
        <v>12</v>
      </c>
      <c r="T715" s="446">
        <v>2928</v>
      </c>
      <c r="U715" s="443">
        <v>12</v>
      </c>
      <c r="V715" s="446">
        <v>2928</v>
      </c>
      <c r="W715" s="186"/>
      <c r="X715" s="447"/>
      <c r="Y715" s="439" t="s">
        <v>1433</v>
      </c>
    </row>
    <row r="716" spans="2:25" ht="76.5" x14ac:dyDescent="0.25">
      <c r="B716" s="1973"/>
      <c r="C716" s="442"/>
      <c r="D716" s="442"/>
      <c r="E716" s="442"/>
      <c r="F716" s="442"/>
      <c r="G716" s="443" t="s">
        <v>58</v>
      </c>
      <c r="H716" s="443" t="s">
        <v>2961</v>
      </c>
      <c r="I716" s="444" t="s">
        <v>40</v>
      </c>
      <c r="J716" s="455"/>
      <c r="K716" s="443">
        <v>12</v>
      </c>
      <c r="L716" s="446">
        <v>15300</v>
      </c>
      <c r="M716" s="443">
        <v>12</v>
      </c>
      <c r="N716" s="446">
        <v>16830</v>
      </c>
      <c r="O716" s="443">
        <v>12</v>
      </c>
      <c r="P716" s="446">
        <v>18513</v>
      </c>
      <c r="Q716" s="443">
        <v>12</v>
      </c>
      <c r="R716" s="446">
        <v>20364</v>
      </c>
      <c r="S716" s="443">
        <v>12</v>
      </c>
      <c r="T716" s="446">
        <v>22401</v>
      </c>
      <c r="U716" s="443">
        <v>12</v>
      </c>
      <c r="V716" s="446">
        <v>22401</v>
      </c>
      <c r="W716" s="186"/>
      <c r="X716" s="447"/>
      <c r="Y716" s="439" t="s">
        <v>1433</v>
      </c>
    </row>
    <row r="717" spans="2:25" ht="76.5" x14ac:dyDescent="0.25">
      <c r="B717" s="1973"/>
      <c r="C717" s="442"/>
      <c r="D717" s="442"/>
      <c r="E717" s="442"/>
      <c r="F717" s="442"/>
      <c r="G717" s="443" t="s">
        <v>137</v>
      </c>
      <c r="H717" s="443" t="s">
        <v>138</v>
      </c>
      <c r="I717" s="444" t="s">
        <v>40</v>
      </c>
      <c r="J717" s="455"/>
      <c r="K717" s="443">
        <v>12</v>
      </c>
      <c r="L717" s="446">
        <v>85000</v>
      </c>
      <c r="M717" s="443">
        <v>12</v>
      </c>
      <c r="N717" s="446">
        <v>93500</v>
      </c>
      <c r="O717" s="443">
        <v>12</v>
      </c>
      <c r="P717" s="446">
        <v>102850</v>
      </c>
      <c r="Q717" s="443">
        <v>12</v>
      </c>
      <c r="R717" s="446">
        <v>113135</v>
      </c>
      <c r="S717" s="443">
        <v>12</v>
      </c>
      <c r="T717" s="446">
        <v>124449</v>
      </c>
      <c r="U717" s="443">
        <v>12</v>
      </c>
      <c r="V717" s="446">
        <v>124449</v>
      </c>
      <c r="W717" s="186"/>
      <c r="X717" s="447"/>
      <c r="Y717" s="439" t="s">
        <v>1433</v>
      </c>
    </row>
    <row r="718" spans="2:25" ht="89.25" x14ac:dyDescent="0.25">
      <c r="B718" s="1973"/>
      <c r="C718" s="442"/>
      <c r="D718" s="442"/>
      <c r="E718" s="442"/>
      <c r="F718" s="442"/>
      <c r="G718" s="443" t="s">
        <v>139</v>
      </c>
      <c r="H718" s="443" t="s">
        <v>140</v>
      </c>
      <c r="I718" s="444" t="s">
        <v>40</v>
      </c>
      <c r="J718" s="455"/>
      <c r="K718" s="443">
        <v>12</v>
      </c>
      <c r="L718" s="446">
        <v>22500</v>
      </c>
      <c r="M718" s="443">
        <v>12</v>
      </c>
      <c r="N718" s="446">
        <v>24750</v>
      </c>
      <c r="O718" s="443">
        <v>12</v>
      </c>
      <c r="P718" s="446">
        <v>27225</v>
      </c>
      <c r="Q718" s="443">
        <v>12</v>
      </c>
      <c r="R718" s="446">
        <v>29948</v>
      </c>
      <c r="S718" s="443">
        <v>12</v>
      </c>
      <c r="T718" s="446">
        <v>32942</v>
      </c>
      <c r="U718" s="443">
        <v>12</v>
      </c>
      <c r="V718" s="446">
        <v>32942</v>
      </c>
      <c r="W718" s="186"/>
      <c r="X718" s="447"/>
      <c r="Y718" s="439" t="s">
        <v>1433</v>
      </c>
    </row>
    <row r="719" spans="2:25" s="1219" customFormat="1" ht="72" x14ac:dyDescent="0.25">
      <c r="B719" s="1973"/>
      <c r="C719" s="442"/>
      <c r="D719" s="442"/>
      <c r="E719" s="442"/>
      <c r="F719" s="1211"/>
      <c r="G719" s="1212" t="s">
        <v>65</v>
      </c>
      <c r="H719" s="1212" t="s">
        <v>1498</v>
      </c>
      <c r="I719" s="1213" t="s">
        <v>19</v>
      </c>
      <c r="J719" s="1072">
        <v>100</v>
      </c>
      <c r="K719" s="1234">
        <v>20</v>
      </c>
      <c r="L719" s="1216">
        <f>SUM(L720:L726)</f>
        <v>70000</v>
      </c>
      <c r="M719" s="1234">
        <v>20</v>
      </c>
      <c r="N719" s="1216">
        <f>SUM(N720:N726)</f>
        <v>143000</v>
      </c>
      <c r="O719" s="1234">
        <v>15</v>
      </c>
      <c r="P719" s="1216">
        <f>SUM(P720:P726)</f>
        <v>456300</v>
      </c>
      <c r="Q719" s="1234">
        <v>15</v>
      </c>
      <c r="R719" s="1216">
        <f>SUM(R720:R726)</f>
        <v>281930</v>
      </c>
      <c r="S719" s="1234">
        <v>15</v>
      </c>
      <c r="T719" s="1216">
        <f>SUM(T720:T726)</f>
        <v>310123</v>
      </c>
      <c r="U719" s="1234">
        <v>15</v>
      </c>
      <c r="V719" s="1216">
        <f>SUM(V720:V726)</f>
        <v>310123</v>
      </c>
      <c r="W719" s="1217">
        <v>100</v>
      </c>
      <c r="X719" s="1218"/>
      <c r="Y719" s="1218" t="s">
        <v>1433</v>
      </c>
    </row>
    <row r="720" spans="2:25" ht="51" x14ac:dyDescent="0.25">
      <c r="B720" s="1973"/>
      <c r="C720" s="442"/>
      <c r="D720" s="442"/>
      <c r="E720" s="442"/>
      <c r="F720" s="442"/>
      <c r="G720" s="443" t="s">
        <v>142</v>
      </c>
      <c r="H720" s="443" t="s">
        <v>143</v>
      </c>
      <c r="I720" s="444" t="s">
        <v>75</v>
      </c>
      <c r="J720" s="455"/>
      <c r="K720" s="254">
        <v>0</v>
      </c>
      <c r="L720" s="254">
        <v>0</v>
      </c>
      <c r="M720" s="254">
        <v>0</v>
      </c>
      <c r="N720" s="254">
        <v>0</v>
      </c>
      <c r="O720" s="443">
        <v>3</v>
      </c>
      <c r="P720" s="446">
        <v>99000</v>
      </c>
      <c r="Q720" s="443">
        <v>3</v>
      </c>
      <c r="R720" s="446">
        <v>108900</v>
      </c>
      <c r="S720" s="443">
        <v>3</v>
      </c>
      <c r="T720" s="446">
        <v>119790</v>
      </c>
      <c r="U720" s="443">
        <v>3</v>
      </c>
      <c r="V720" s="446">
        <v>119790</v>
      </c>
      <c r="W720" s="186"/>
      <c r="X720" s="447"/>
      <c r="Y720" s="439" t="s">
        <v>1433</v>
      </c>
    </row>
    <row r="721" spans="2:25" ht="51" x14ac:dyDescent="0.25">
      <c r="B721" s="1973"/>
      <c r="C721" s="442"/>
      <c r="D721" s="442"/>
      <c r="E721" s="442"/>
      <c r="F721" s="442"/>
      <c r="G721" s="469" t="s">
        <v>144</v>
      </c>
      <c r="H721" s="443" t="s">
        <v>2962</v>
      </c>
      <c r="I721" s="444" t="s">
        <v>75</v>
      </c>
      <c r="J721" s="455"/>
      <c r="K721" s="443">
        <v>1</v>
      </c>
      <c r="L721" s="446">
        <v>36600</v>
      </c>
      <c r="M721" s="443">
        <v>1</v>
      </c>
      <c r="N721" s="446">
        <v>40260</v>
      </c>
      <c r="O721" s="443">
        <v>1</v>
      </c>
      <c r="P721" s="446">
        <v>44286</v>
      </c>
      <c r="Q721" s="443">
        <v>1</v>
      </c>
      <c r="R721" s="446">
        <v>48715</v>
      </c>
      <c r="S721" s="443">
        <v>1</v>
      </c>
      <c r="T721" s="446">
        <v>53586</v>
      </c>
      <c r="U721" s="443">
        <v>1</v>
      </c>
      <c r="V721" s="446">
        <v>53586</v>
      </c>
      <c r="W721" s="186"/>
      <c r="X721" s="447"/>
      <c r="Y721" s="439" t="s">
        <v>1433</v>
      </c>
    </row>
    <row r="722" spans="2:25" ht="38.25" x14ac:dyDescent="0.25">
      <c r="B722" s="1973"/>
      <c r="C722" s="442"/>
      <c r="D722" s="442"/>
      <c r="E722" s="442"/>
      <c r="F722" s="442"/>
      <c r="G722" s="434" t="s">
        <v>149</v>
      </c>
      <c r="H722" s="443" t="s">
        <v>150</v>
      </c>
      <c r="I722" s="444" t="s">
        <v>75</v>
      </c>
      <c r="J722" s="455"/>
      <c r="K722" s="443">
        <v>1</v>
      </c>
      <c r="L722" s="446">
        <v>18400</v>
      </c>
      <c r="M722" s="443">
        <v>1</v>
      </c>
      <c r="N722" s="446">
        <v>20240</v>
      </c>
      <c r="O722" s="443">
        <v>1</v>
      </c>
      <c r="P722" s="446">
        <v>22264</v>
      </c>
      <c r="Q722" s="443">
        <v>1</v>
      </c>
      <c r="R722" s="446">
        <v>24490</v>
      </c>
      <c r="S722" s="443">
        <v>1</v>
      </c>
      <c r="T722" s="446">
        <v>26939</v>
      </c>
      <c r="U722" s="443">
        <v>1</v>
      </c>
      <c r="V722" s="446">
        <v>26939</v>
      </c>
      <c r="W722" s="186"/>
      <c r="X722" s="447"/>
      <c r="Y722" s="439" t="s">
        <v>1433</v>
      </c>
    </row>
    <row r="723" spans="2:25" ht="38.25" x14ac:dyDescent="0.25">
      <c r="B723" s="1973"/>
      <c r="C723" s="442"/>
      <c r="D723" s="442"/>
      <c r="E723" s="442"/>
      <c r="F723" s="442"/>
      <c r="G723" s="469" t="s">
        <v>158</v>
      </c>
      <c r="H723" s="443" t="s">
        <v>159</v>
      </c>
      <c r="I723" s="444" t="s">
        <v>75</v>
      </c>
      <c r="J723" s="455"/>
      <c r="K723" s="443"/>
      <c r="L723" s="446">
        <v>0</v>
      </c>
      <c r="M723" s="443"/>
      <c r="N723" s="446">
        <v>55000</v>
      </c>
      <c r="O723" s="443"/>
      <c r="P723" s="446">
        <v>60500</v>
      </c>
      <c r="Q723" s="443"/>
      <c r="R723" s="446">
        <v>66550</v>
      </c>
      <c r="S723" s="443"/>
      <c r="T723" s="446">
        <v>73205</v>
      </c>
      <c r="U723" s="443"/>
      <c r="V723" s="446">
        <v>73205</v>
      </c>
      <c r="W723" s="186"/>
      <c r="X723" s="447"/>
      <c r="Y723" s="439" t="s">
        <v>1433</v>
      </c>
    </row>
    <row r="724" spans="2:25" ht="63.75" x14ac:dyDescent="0.25">
      <c r="B724" s="1973"/>
      <c r="C724" s="442"/>
      <c r="D724" s="442"/>
      <c r="E724" s="442"/>
      <c r="F724" s="442"/>
      <c r="G724" s="687" t="s">
        <v>164</v>
      </c>
      <c r="H724" s="443" t="s">
        <v>2963</v>
      </c>
      <c r="I724" s="444" t="s">
        <v>75</v>
      </c>
      <c r="J724" s="455"/>
      <c r="K724" s="443">
        <v>4</v>
      </c>
      <c r="L724" s="446">
        <v>15000</v>
      </c>
      <c r="M724" s="443">
        <v>4</v>
      </c>
      <c r="N724" s="446">
        <v>16500</v>
      </c>
      <c r="O724" s="443">
        <v>4</v>
      </c>
      <c r="P724" s="1200">
        <v>218150</v>
      </c>
      <c r="Q724" s="443">
        <v>4</v>
      </c>
      <c r="R724" s="446">
        <v>19965</v>
      </c>
      <c r="S724" s="443">
        <v>4</v>
      </c>
      <c r="T724" s="446">
        <v>21962</v>
      </c>
      <c r="U724" s="443">
        <v>4</v>
      </c>
      <c r="V724" s="446">
        <v>21962</v>
      </c>
      <c r="W724" s="186"/>
      <c r="X724" s="447"/>
      <c r="Y724" s="439" t="s">
        <v>1433</v>
      </c>
    </row>
    <row r="725" spans="2:25" ht="51" x14ac:dyDescent="0.25">
      <c r="B725" s="1973"/>
      <c r="C725" s="442"/>
      <c r="D725" s="442"/>
      <c r="E725" s="442"/>
      <c r="F725" s="442"/>
      <c r="G725" s="454"/>
      <c r="H725" s="443" t="s">
        <v>3764</v>
      </c>
      <c r="I725" s="444" t="s">
        <v>69</v>
      </c>
      <c r="J725" s="455"/>
      <c r="K725" s="443"/>
      <c r="L725" s="446"/>
      <c r="M725" s="443"/>
      <c r="N725" s="446"/>
      <c r="O725" s="1202">
        <v>1</v>
      </c>
      <c r="P725" s="446"/>
      <c r="Q725" s="443"/>
      <c r="R725" s="446"/>
      <c r="S725" s="443"/>
      <c r="T725" s="446"/>
      <c r="U725" s="443"/>
      <c r="V725" s="446"/>
      <c r="W725" s="186"/>
      <c r="X725" s="447"/>
      <c r="Y725" s="439"/>
    </row>
    <row r="726" spans="2:25" ht="51" x14ac:dyDescent="0.25">
      <c r="B726" s="1973"/>
      <c r="C726" s="442"/>
      <c r="D726" s="442"/>
      <c r="E726" s="442"/>
      <c r="F726" s="442"/>
      <c r="G726" s="443" t="s">
        <v>73</v>
      </c>
      <c r="H726" s="443" t="s">
        <v>2964</v>
      </c>
      <c r="I726" s="444" t="s">
        <v>75</v>
      </c>
      <c r="J726" s="455"/>
      <c r="K726" s="443"/>
      <c r="L726" s="446">
        <v>0</v>
      </c>
      <c r="M726" s="443"/>
      <c r="N726" s="446">
        <v>11000</v>
      </c>
      <c r="O726" s="443"/>
      <c r="P726" s="446">
        <v>12100</v>
      </c>
      <c r="Q726" s="443"/>
      <c r="R726" s="446">
        <v>13310</v>
      </c>
      <c r="S726" s="443"/>
      <c r="T726" s="446">
        <v>14641</v>
      </c>
      <c r="U726" s="443"/>
      <c r="V726" s="446">
        <v>14641</v>
      </c>
      <c r="W726" s="186"/>
      <c r="X726" s="447"/>
      <c r="Y726" s="439" t="s">
        <v>1433</v>
      </c>
    </row>
    <row r="727" spans="2:25" ht="72" x14ac:dyDescent="0.25">
      <c r="B727" s="1973"/>
      <c r="C727" s="442"/>
      <c r="D727" s="442"/>
      <c r="E727" s="442"/>
      <c r="F727" s="440"/>
      <c r="G727" s="436" t="s">
        <v>77</v>
      </c>
      <c r="H727" s="436" t="s">
        <v>78</v>
      </c>
      <c r="I727" s="437" t="s">
        <v>79</v>
      </c>
      <c r="J727" s="466">
        <v>25</v>
      </c>
      <c r="K727" s="466">
        <v>5</v>
      </c>
      <c r="L727" s="450">
        <f>SUM(L728)</f>
        <v>40000</v>
      </c>
      <c r="M727" s="466">
        <v>5</v>
      </c>
      <c r="N727" s="450">
        <f>SUM(N728)</f>
        <v>44000</v>
      </c>
      <c r="O727" s="466">
        <v>5</v>
      </c>
      <c r="P727" s="450">
        <f>SUM(P728)</f>
        <v>48400</v>
      </c>
      <c r="Q727" s="466">
        <v>5</v>
      </c>
      <c r="R727" s="450">
        <f>SUM(R728)</f>
        <v>53240</v>
      </c>
      <c r="S727" s="466">
        <v>5</v>
      </c>
      <c r="T727" s="450">
        <f>SUM(T728)</f>
        <v>58564</v>
      </c>
      <c r="U727" s="466">
        <v>5</v>
      </c>
      <c r="V727" s="450">
        <f>SUM(V728)</f>
        <v>58564</v>
      </c>
      <c r="W727" s="450">
        <v>30</v>
      </c>
      <c r="X727" s="470"/>
      <c r="Y727" s="439" t="s">
        <v>1433</v>
      </c>
    </row>
    <row r="728" spans="2:25" ht="63.75" x14ac:dyDescent="0.25">
      <c r="B728" s="1973"/>
      <c r="C728" s="442"/>
      <c r="D728" s="442"/>
      <c r="E728" s="442"/>
      <c r="F728" s="442"/>
      <c r="G728" s="443" t="s">
        <v>80</v>
      </c>
      <c r="H728" s="443" t="s">
        <v>2965</v>
      </c>
      <c r="I728" s="444" t="s">
        <v>79</v>
      </c>
      <c r="J728" s="455"/>
      <c r="K728" s="455">
        <v>5</v>
      </c>
      <c r="L728" s="446">
        <v>40000</v>
      </c>
      <c r="M728" s="443">
        <v>5</v>
      </c>
      <c r="N728" s="446">
        <v>44000</v>
      </c>
      <c r="O728" s="443">
        <v>5</v>
      </c>
      <c r="P728" s="446">
        <v>48400</v>
      </c>
      <c r="Q728" s="443">
        <v>5</v>
      </c>
      <c r="R728" s="446">
        <v>53240</v>
      </c>
      <c r="S728" s="443">
        <v>5</v>
      </c>
      <c r="T728" s="446">
        <v>58564</v>
      </c>
      <c r="U728" s="443">
        <v>5</v>
      </c>
      <c r="V728" s="446">
        <v>58564</v>
      </c>
      <c r="W728" s="186"/>
      <c r="X728" s="447"/>
      <c r="Y728" s="439" t="s">
        <v>1433</v>
      </c>
    </row>
    <row r="729" spans="2:25" ht="48" x14ac:dyDescent="0.25">
      <c r="B729" s="1973"/>
      <c r="C729" s="442"/>
      <c r="D729" s="442"/>
      <c r="E729" s="442"/>
      <c r="F729" s="440"/>
      <c r="G729" s="436" t="s">
        <v>167</v>
      </c>
      <c r="H729" s="436" t="s">
        <v>1515</v>
      </c>
      <c r="I729" s="437" t="s">
        <v>79</v>
      </c>
      <c r="J729" s="450">
        <v>0</v>
      </c>
      <c r="K729" s="451">
        <v>1</v>
      </c>
      <c r="L729" s="441">
        <f>SUM(L730)</f>
        <v>115000</v>
      </c>
      <c r="M729" s="451">
        <v>1</v>
      </c>
      <c r="N729" s="441">
        <f>SUM(N730)</f>
        <v>16500</v>
      </c>
      <c r="O729" s="451">
        <v>1</v>
      </c>
      <c r="P729" s="441">
        <f>SUM(P730)</f>
        <v>18150</v>
      </c>
      <c r="Q729" s="451">
        <v>1</v>
      </c>
      <c r="R729" s="441">
        <f>SUM(R730)</f>
        <v>19965</v>
      </c>
      <c r="S729" s="451">
        <v>1</v>
      </c>
      <c r="T729" s="441">
        <f>SUM(T730)</f>
        <v>21962</v>
      </c>
      <c r="U729" s="451">
        <v>1</v>
      </c>
      <c r="V729" s="441">
        <f>SUM(V730)</f>
        <v>21962</v>
      </c>
      <c r="W729" s="438">
        <v>6</v>
      </c>
      <c r="X729" s="439"/>
      <c r="Y729" s="439" t="s">
        <v>1433</v>
      </c>
    </row>
    <row r="730" spans="2:25" ht="63.75" x14ac:dyDescent="0.25">
      <c r="B730" s="1976"/>
      <c r="C730" s="454"/>
      <c r="D730" s="454"/>
      <c r="E730" s="454"/>
      <c r="F730" s="454"/>
      <c r="G730" s="443" t="s">
        <v>169</v>
      </c>
      <c r="H730" s="443" t="s">
        <v>2966</v>
      </c>
      <c r="I730" s="444" t="s">
        <v>79</v>
      </c>
      <c r="J730" s="455"/>
      <c r="K730" s="443">
        <v>1</v>
      </c>
      <c r="L730" s="446">
        <v>115000</v>
      </c>
      <c r="M730" s="443">
        <v>1</v>
      </c>
      <c r="N730" s="446">
        <v>16500</v>
      </c>
      <c r="O730" s="443">
        <v>1</v>
      </c>
      <c r="P730" s="446">
        <v>18150</v>
      </c>
      <c r="Q730" s="443">
        <v>1</v>
      </c>
      <c r="R730" s="446">
        <v>19965</v>
      </c>
      <c r="S730" s="443">
        <v>1</v>
      </c>
      <c r="T730" s="446">
        <v>21962</v>
      </c>
      <c r="U730" s="443">
        <v>1</v>
      </c>
      <c r="V730" s="446">
        <v>21962</v>
      </c>
      <c r="W730" s="186"/>
      <c r="X730" s="447"/>
      <c r="Y730" s="439" t="s">
        <v>1433</v>
      </c>
    </row>
    <row r="731" spans="2:25" ht="13.5" thickBot="1" x14ac:dyDescent="0.3">
      <c r="B731" s="1968" t="s">
        <v>2279</v>
      </c>
      <c r="C731" s="1969"/>
      <c r="D731" s="1969"/>
      <c r="E731" s="1969"/>
      <c r="F731" s="1969"/>
      <c r="G731" s="471"/>
      <c r="H731" s="472"/>
      <c r="I731" s="473"/>
      <c r="J731" s="474"/>
      <c r="K731" s="475"/>
      <c r="L731" s="476">
        <f>SUM(L672:L730)/2</f>
        <v>2733754</v>
      </c>
      <c r="M731" s="477"/>
      <c r="N731" s="476">
        <f>SUM(N672:N730)/2</f>
        <v>6888988</v>
      </c>
      <c r="O731" s="477"/>
      <c r="P731" s="476">
        <f>SUM(P672:P730)/2</f>
        <v>4707692</v>
      </c>
      <c r="Q731" s="477"/>
      <c r="R731" s="476">
        <f>SUM(R672:R730)/2</f>
        <v>4954362</v>
      </c>
      <c r="S731" s="477"/>
      <c r="T731" s="476">
        <f>SUM(T672:T730)/2</f>
        <v>5393029</v>
      </c>
      <c r="U731" s="477"/>
      <c r="V731" s="476">
        <f>SUM(V672:V730)/2</f>
        <v>5744698</v>
      </c>
      <c r="W731" s="477"/>
      <c r="X731" s="478"/>
      <c r="Y731" s="478"/>
    </row>
    <row r="732" spans="2:25" ht="13.5" thickTop="1" x14ac:dyDescent="0.25">
      <c r="L732" s="534"/>
    </row>
    <row r="733" spans="2:25" ht="13.5" thickBot="1" x14ac:dyDescent="0.3">
      <c r="B733" s="246" t="s">
        <v>1442</v>
      </c>
    </row>
    <row r="734" spans="2:25" s="219" customFormat="1" thickTop="1" x14ac:dyDescent="0.2">
      <c r="B734" s="1932" t="s">
        <v>1</v>
      </c>
      <c r="C734" s="1934" t="s">
        <v>2</v>
      </c>
      <c r="D734" s="1934" t="s">
        <v>3</v>
      </c>
      <c r="E734" s="1934" t="s">
        <v>4</v>
      </c>
      <c r="F734" s="1934" t="s">
        <v>5</v>
      </c>
      <c r="G734" s="1934" t="s">
        <v>6</v>
      </c>
      <c r="H734" s="1934" t="s">
        <v>1854</v>
      </c>
      <c r="I734" s="1934" t="s">
        <v>31</v>
      </c>
      <c r="J734" s="1936" t="s">
        <v>1855</v>
      </c>
      <c r="K734" s="1934" t="s">
        <v>7</v>
      </c>
      <c r="L734" s="1934"/>
      <c r="M734" s="1934"/>
      <c r="N734" s="1934"/>
      <c r="O734" s="1934"/>
      <c r="P734" s="1934"/>
      <c r="Q734" s="1934"/>
      <c r="R734" s="1934"/>
      <c r="S734" s="1934"/>
      <c r="T734" s="1934"/>
      <c r="U734" s="1934"/>
      <c r="V734" s="1934"/>
      <c r="W734" s="1934"/>
      <c r="X734" s="1934" t="s">
        <v>8</v>
      </c>
      <c r="Y734" s="1938" t="s">
        <v>1856</v>
      </c>
    </row>
    <row r="735" spans="2:25" s="219" customFormat="1" ht="12" x14ac:dyDescent="0.2">
      <c r="B735" s="1933"/>
      <c r="C735" s="1935"/>
      <c r="D735" s="1935"/>
      <c r="E735" s="1935"/>
      <c r="F735" s="1935"/>
      <c r="G735" s="1935"/>
      <c r="H735" s="1935"/>
      <c r="I735" s="1935"/>
      <c r="J735" s="1937"/>
      <c r="K735" s="1935">
        <v>2016</v>
      </c>
      <c r="L735" s="1935"/>
      <c r="M735" s="1935">
        <v>2017</v>
      </c>
      <c r="N735" s="1935"/>
      <c r="O735" s="1935">
        <v>2018</v>
      </c>
      <c r="P735" s="1935"/>
      <c r="Q735" s="1935">
        <v>2019</v>
      </c>
      <c r="R735" s="1935"/>
      <c r="S735" s="1935">
        <v>2020</v>
      </c>
      <c r="T735" s="1935"/>
      <c r="U735" s="1935">
        <v>2021</v>
      </c>
      <c r="V735" s="1935"/>
      <c r="W735" s="1940" t="s">
        <v>1857</v>
      </c>
      <c r="X735" s="1935"/>
      <c r="Y735" s="1939"/>
    </row>
    <row r="736" spans="2:25" s="219" customFormat="1" ht="12" x14ac:dyDescent="0.2">
      <c r="B736" s="1933"/>
      <c r="C736" s="1935"/>
      <c r="D736" s="1935"/>
      <c r="E736" s="1935"/>
      <c r="F736" s="1935"/>
      <c r="G736" s="1935"/>
      <c r="H736" s="1935"/>
      <c r="I736" s="1935"/>
      <c r="J736" s="1937"/>
      <c r="K736" s="707" t="s">
        <v>1858</v>
      </c>
      <c r="L736" s="1889" t="s">
        <v>1355</v>
      </c>
      <c r="M736" s="844" t="s">
        <v>1858</v>
      </c>
      <c r="N736" s="1889" t="s">
        <v>1355</v>
      </c>
      <c r="O736" s="844" t="s">
        <v>1858</v>
      </c>
      <c r="P736" s="1889" t="s">
        <v>1355</v>
      </c>
      <c r="Q736" s="844" t="s">
        <v>1858</v>
      </c>
      <c r="R736" s="1889" t="s">
        <v>1355</v>
      </c>
      <c r="S736" s="844" t="s">
        <v>1858</v>
      </c>
      <c r="T736" s="1889" t="s">
        <v>1355</v>
      </c>
      <c r="U736" s="844" t="s">
        <v>1858</v>
      </c>
      <c r="V736" s="1889" t="s">
        <v>1355</v>
      </c>
      <c r="W736" s="1940"/>
      <c r="X736" s="1935"/>
      <c r="Y736" s="1939"/>
    </row>
    <row r="737" spans="2:25" ht="36" customHeight="1" x14ac:dyDescent="0.25">
      <c r="B737" s="1981" t="s">
        <v>2968</v>
      </c>
      <c r="C737" s="1974" t="s">
        <v>4097</v>
      </c>
      <c r="D737" s="1974" t="s">
        <v>4035</v>
      </c>
      <c r="E737" s="1882" t="s">
        <v>4101</v>
      </c>
      <c r="F737" s="172" t="s">
        <v>4100</v>
      </c>
      <c r="G737" s="976" t="s">
        <v>4099</v>
      </c>
      <c r="H737" s="1835">
        <v>0</v>
      </c>
      <c r="I737" s="1835">
        <v>0</v>
      </c>
      <c r="J737" s="1835">
        <v>0</v>
      </c>
      <c r="K737" s="1835">
        <v>1</v>
      </c>
      <c r="L737" s="1835">
        <v>0</v>
      </c>
      <c r="M737" s="1835">
        <v>0</v>
      </c>
      <c r="N737" s="1835">
        <v>0</v>
      </c>
      <c r="O737" s="291"/>
      <c r="P737" s="535"/>
      <c r="Q737" s="291"/>
      <c r="R737" s="535"/>
      <c r="S737" s="291"/>
      <c r="T737" s="535"/>
      <c r="U737" s="291"/>
      <c r="V737" s="535"/>
      <c r="W737" s="301"/>
      <c r="X737" s="655"/>
      <c r="Y737" s="485"/>
    </row>
    <row r="738" spans="2:25" ht="60" x14ac:dyDescent="0.25">
      <c r="B738" s="1982"/>
      <c r="C738" s="1975"/>
      <c r="D738" s="1975"/>
      <c r="E738" s="505"/>
      <c r="F738" s="505"/>
      <c r="G738" s="480" t="s">
        <v>1440</v>
      </c>
      <c r="H738" s="480" t="s">
        <v>1439</v>
      </c>
      <c r="I738" s="481" t="s">
        <v>19</v>
      </c>
      <c r="J738" s="482">
        <v>0</v>
      </c>
      <c r="K738" s="483">
        <v>0</v>
      </c>
      <c r="L738" s="484">
        <f>SUM(L739:L744)</f>
        <v>200000</v>
      </c>
      <c r="M738" s="483">
        <v>20</v>
      </c>
      <c r="N738" s="484">
        <f>SUM(N739:N744)</f>
        <v>1100000</v>
      </c>
      <c r="O738" s="483">
        <v>40</v>
      </c>
      <c r="P738" s="484">
        <f>SUM(P739:P744)</f>
        <v>400000</v>
      </c>
      <c r="Q738" s="483">
        <v>60</v>
      </c>
      <c r="R738" s="484">
        <f>SUM(R739:R744)</f>
        <v>500000</v>
      </c>
      <c r="S738" s="483">
        <v>80</v>
      </c>
      <c r="T738" s="484">
        <f>SUM(T739:T744)</f>
        <v>600000</v>
      </c>
      <c r="U738" s="483">
        <v>100</v>
      </c>
      <c r="V738" s="484">
        <f>SUM(V739:V744)</f>
        <v>600000</v>
      </c>
      <c r="W738" s="483">
        <v>100</v>
      </c>
      <c r="X738" s="480" t="s">
        <v>1441</v>
      </c>
      <c r="Y738" s="485" t="s">
        <v>1442</v>
      </c>
    </row>
    <row r="739" spans="2:25" ht="51" x14ac:dyDescent="0.25">
      <c r="B739" s="1982"/>
      <c r="C739" s="1975"/>
      <c r="D739" s="1975"/>
      <c r="E739" s="505"/>
      <c r="F739" s="492"/>
      <c r="G739" s="486" t="s">
        <v>2969</v>
      </c>
      <c r="H739" s="487" t="s">
        <v>2970</v>
      </c>
      <c r="I739" s="488"/>
      <c r="J739" s="489">
        <v>0</v>
      </c>
      <c r="K739" s="489"/>
      <c r="L739" s="490">
        <v>200000</v>
      </c>
      <c r="M739" s="489">
        <v>0</v>
      </c>
      <c r="N739" s="490">
        <v>300000</v>
      </c>
      <c r="O739" s="489">
        <v>0</v>
      </c>
      <c r="P739" s="490">
        <v>400000</v>
      </c>
      <c r="Q739" s="489">
        <v>0</v>
      </c>
      <c r="R739" s="490">
        <v>500000</v>
      </c>
      <c r="S739" s="489">
        <v>0</v>
      </c>
      <c r="T739" s="490">
        <v>600000</v>
      </c>
      <c r="U739" s="489">
        <v>0</v>
      </c>
      <c r="V739" s="490">
        <v>600000</v>
      </c>
      <c r="W739" s="489"/>
      <c r="X739" s="487"/>
      <c r="Y739" s="485" t="s">
        <v>1442</v>
      </c>
    </row>
    <row r="740" spans="2:25" ht="76.5" x14ac:dyDescent="0.25">
      <c r="B740" s="1982"/>
      <c r="C740" s="1819"/>
      <c r="D740" s="1819"/>
      <c r="E740" s="492"/>
      <c r="F740" s="492"/>
      <c r="G740" s="492"/>
      <c r="H740" s="487" t="s">
        <v>2971</v>
      </c>
      <c r="I740" s="488"/>
      <c r="J740" s="489">
        <v>0</v>
      </c>
      <c r="K740" s="489">
        <v>0</v>
      </c>
      <c r="L740" s="493">
        <v>0</v>
      </c>
      <c r="M740" s="489"/>
      <c r="N740" s="493">
        <v>0</v>
      </c>
      <c r="O740" s="489">
        <v>0</v>
      </c>
      <c r="P740" s="493">
        <v>0</v>
      </c>
      <c r="Q740" s="489">
        <v>0</v>
      </c>
      <c r="R740" s="493">
        <v>0</v>
      </c>
      <c r="S740" s="489">
        <v>0</v>
      </c>
      <c r="T740" s="493">
        <v>0</v>
      </c>
      <c r="U740" s="489">
        <v>0</v>
      </c>
      <c r="V740" s="493">
        <v>0</v>
      </c>
      <c r="W740" s="489"/>
      <c r="X740" s="491"/>
      <c r="Y740" s="485" t="s">
        <v>1442</v>
      </c>
    </row>
    <row r="741" spans="2:25" ht="51" x14ac:dyDescent="0.25">
      <c r="B741" s="1982"/>
      <c r="C741" s="1819"/>
      <c r="D741" s="359"/>
      <c r="E741" s="492"/>
      <c r="F741" s="492"/>
      <c r="G741" s="492"/>
      <c r="H741" s="487" t="s">
        <v>2972</v>
      </c>
      <c r="I741" s="488"/>
      <c r="J741" s="489">
        <v>0</v>
      </c>
      <c r="K741" s="489">
        <v>0</v>
      </c>
      <c r="L741" s="493">
        <v>0</v>
      </c>
      <c r="M741" s="489">
        <v>0</v>
      </c>
      <c r="N741" s="493">
        <v>0</v>
      </c>
      <c r="O741" s="494"/>
      <c r="P741" s="493">
        <v>0</v>
      </c>
      <c r="Q741" s="489">
        <v>0</v>
      </c>
      <c r="R741" s="493">
        <v>0</v>
      </c>
      <c r="S741" s="489">
        <v>0</v>
      </c>
      <c r="T741" s="493">
        <v>0</v>
      </c>
      <c r="U741" s="489">
        <v>0</v>
      </c>
      <c r="V741" s="493">
        <v>0</v>
      </c>
      <c r="W741" s="489"/>
      <c r="X741" s="491"/>
      <c r="Y741" s="485" t="s">
        <v>1442</v>
      </c>
    </row>
    <row r="742" spans="2:25" ht="89.25" x14ac:dyDescent="0.25">
      <c r="B742" s="1883"/>
      <c r="C742" s="492"/>
      <c r="D742" s="492"/>
      <c r="E742" s="492"/>
      <c r="F742" s="492"/>
      <c r="G742" s="492"/>
      <c r="H742" s="487" t="s">
        <v>2973</v>
      </c>
      <c r="I742" s="488"/>
      <c r="J742" s="489">
        <v>0</v>
      </c>
      <c r="K742" s="489">
        <v>0</v>
      </c>
      <c r="L742" s="493">
        <v>0</v>
      </c>
      <c r="M742" s="489">
        <v>0</v>
      </c>
      <c r="N742" s="493">
        <v>0</v>
      </c>
      <c r="O742" s="489">
        <v>0</v>
      </c>
      <c r="P742" s="493">
        <v>0</v>
      </c>
      <c r="Q742" s="489"/>
      <c r="R742" s="493">
        <v>0</v>
      </c>
      <c r="S742" s="494">
        <v>0</v>
      </c>
      <c r="T742" s="493">
        <v>0</v>
      </c>
      <c r="U742" s="489">
        <v>0</v>
      </c>
      <c r="V742" s="493">
        <v>0</v>
      </c>
      <c r="W742" s="489"/>
      <c r="X742" s="491"/>
      <c r="Y742" s="485" t="s">
        <v>1442</v>
      </c>
    </row>
    <row r="743" spans="2:25" ht="76.5" x14ac:dyDescent="0.25">
      <c r="B743" s="1883"/>
      <c r="C743" s="492"/>
      <c r="D743" s="492"/>
      <c r="E743" s="492"/>
      <c r="F743" s="492"/>
      <c r="G743" s="495"/>
      <c r="H743" s="487" t="s">
        <v>2974</v>
      </c>
      <c r="I743" s="488"/>
      <c r="J743" s="489">
        <v>0</v>
      </c>
      <c r="K743" s="489">
        <v>0</v>
      </c>
      <c r="L743" s="496">
        <v>0</v>
      </c>
      <c r="M743" s="489">
        <v>0</v>
      </c>
      <c r="N743" s="496">
        <v>0</v>
      </c>
      <c r="O743" s="489">
        <v>0</v>
      </c>
      <c r="P743" s="496">
        <v>0</v>
      </c>
      <c r="Q743" s="489">
        <v>0</v>
      </c>
      <c r="R743" s="496">
        <v>0</v>
      </c>
      <c r="S743" s="489"/>
      <c r="T743" s="496">
        <v>0</v>
      </c>
      <c r="U743" s="494"/>
      <c r="V743" s="496">
        <v>0</v>
      </c>
      <c r="W743" s="489"/>
      <c r="X743" s="491"/>
      <c r="Y743" s="485" t="s">
        <v>1442</v>
      </c>
    </row>
    <row r="744" spans="2:25" s="974" customFormat="1" ht="127.5" x14ac:dyDescent="0.25">
      <c r="B744" s="1883"/>
      <c r="C744" s="492"/>
      <c r="D744" s="492"/>
      <c r="E744" s="492"/>
      <c r="F744" s="965"/>
      <c r="G744" s="966" t="s">
        <v>3205</v>
      </c>
      <c r="H744" s="967" t="s">
        <v>3206</v>
      </c>
      <c r="I744" s="968" t="s">
        <v>79</v>
      </c>
      <c r="J744" s="969">
        <v>0</v>
      </c>
      <c r="K744" s="970">
        <v>0</v>
      </c>
      <c r="L744" s="971">
        <v>0</v>
      </c>
      <c r="M744" s="970">
        <v>2</v>
      </c>
      <c r="N744" s="972">
        <v>800000</v>
      </c>
      <c r="O744" s="970">
        <v>0</v>
      </c>
      <c r="P744" s="971">
        <v>0</v>
      </c>
      <c r="Q744" s="970">
        <v>0</v>
      </c>
      <c r="R744" s="971">
        <v>0</v>
      </c>
      <c r="S744" s="970">
        <v>0</v>
      </c>
      <c r="T744" s="971">
        <v>0</v>
      </c>
      <c r="U744" s="970">
        <v>0</v>
      </c>
      <c r="V744" s="971">
        <v>0</v>
      </c>
      <c r="W744" s="973"/>
      <c r="X744" s="967"/>
      <c r="Y744" s="485" t="s">
        <v>1442</v>
      </c>
    </row>
    <row r="745" spans="2:25" s="974" customFormat="1" ht="15" x14ac:dyDescent="0.25">
      <c r="B745" s="1883"/>
      <c r="C745" s="492"/>
      <c r="D745" s="492"/>
      <c r="E745" s="480"/>
      <c r="F745" s="1888"/>
      <c r="G745" s="966"/>
      <c r="H745" s="1887"/>
      <c r="I745" s="968"/>
      <c r="J745" s="969"/>
      <c r="K745" s="970"/>
      <c r="L745" s="971"/>
      <c r="M745" s="970"/>
      <c r="N745" s="972"/>
      <c r="O745" s="970"/>
      <c r="P745" s="971"/>
      <c r="Q745" s="970"/>
      <c r="R745" s="971"/>
      <c r="S745" s="970"/>
      <c r="T745" s="971"/>
      <c r="U745" s="970"/>
      <c r="V745" s="971"/>
      <c r="W745" s="973"/>
      <c r="X745" s="967"/>
      <c r="Y745" s="485"/>
    </row>
    <row r="746" spans="2:25" ht="36" x14ac:dyDescent="0.25">
      <c r="B746" s="1883"/>
      <c r="C746" s="492"/>
      <c r="D746" s="492"/>
      <c r="E746" s="480" t="s">
        <v>4105</v>
      </c>
      <c r="F746" s="685" t="s">
        <v>4104</v>
      </c>
      <c r="G746" s="1775" t="s">
        <v>4098</v>
      </c>
      <c r="H746" s="655"/>
      <c r="I746" s="497" t="s">
        <v>75</v>
      </c>
      <c r="J746" s="1835">
        <v>54899</v>
      </c>
      <c r="K746" s="1835">
        <v>54909</v>
      </c>
      <c r="L746" s="1835"/>
      <c r="M746" s="1835">
        <v>54919</v>
      </c>
      <c r="N746" s="1835"/>
      <c r="O746" s="1835">
        <v>54929</v>
      </c>
      <c r="P746" s="535"/>
      <c r="Q746" s="1835">
        <v>54939</v>
      </c>
      <c r="R746" s="535"/>
      <c r="S746" s="1835">
        <v>54949</v>
      </c>
      <c r="T746" s="535"/>
      <c r="U746" s="1885">
        <v>54959</v>
      </c>
      <c r="V746" s="535"/>
      <c r="W746" s="1886">
        <v>54959</v>
      </c>
      <c r="X746" s="655"/>
      <c r="Y746" s="485"/>
    </row>
    <row r="747" spans="2:25" ht="60" x14ac:dyDescent="0.25">
      <c r="B747" s="1883"/>
      <c r="C747" s="492"/>
      <c r="D747" s="492"/>
      <c r="E747" s="492"/>
      <c r="F747" s="505"/>
      <c r="G747" s="480" t="s">
        <v>1446</v>
      </c>
      <c r="H747" s="480" t="s">
        <v>1445</v>
      </c>
      <c r="I747" s="497" t="s">
        <v>75</v>
      </c>
      <c r="J747" s="498">
        <v>0</v>
      </c>
      <c r="K747" s="499">
        <v>10</v>
      </c>
      <c r="L747" s="504"/>
      <c r="M747" s="499">
        <v>10</v>
      </c>
      <c r="N747" s="504"/>
      <c r="O747" s="499">
        <v>10</v>
      </c>
      <c r="P747" s="504"/>
      <c r="Q747" s="499">
        <v>10</v>
      </c>
      <c r="R747" s="504"/>
      <c r="S747" s="499">
        <v>10</v>
      </c>
      <c r="T747" s="504"/>
      <c r="U747" s="499">
        <v>10</v>
      </c>
      <c r="V747" s="504"/>
      <c r="W747" s="483">
        <v>60</v>
      </c>
      <c r="X747" s="485"/>
      <c r="Y747" s="485" t="s">
        <v>1442</v>
      </c>
    </row>
    <row r="748" spans="2:25" ht="114.75" x14ac:dyDescent="0.25">
      <c r="B748" s="1883"/>
      <c r="C748" s="492"/>
      <c r="D748" s="492"/>
      <c r="E748" s="492"/>
      <c r="F748" s="492"/>
      <c r="G748" s="495" t="s">
        <v>2988</v>
      </c>
      <c r="H748" s="495" t="s">
        <v>2989</v>
      </c>
      <c r="I748" s="506" t="s">
        <v>75</v>
      </c>
      <c r="J748" s="507">
        <v>200</v>
      </c>
      <c r="K748" s="508">
        <v>4</v>
      </c>
      <c r="L748" s="508">
        <v>200000</v>
      </c>
      <c r="M748" s="508">
        <v>8</v>
      </c>
      <c r="N748" s="508">
        <v>400000</v>
      </c>
      <c r="O748" s="508">
        <v>12</v>
      </c>
      <c r="P748" s="508">
        <v>600000</v>
      </c>
      <c r="Q748" s="508">
        <v>16</v>
      </c>
      <c r="R748" s="508">
        <v>800000</v>
      </c>
      <c r="S748" s="508">
        <v>18</v>
      </c>
      <c r="T748" s="508">
        <v>1000000</v>
      </c>
      <c r="U748" s="508">
        <v>18</v>
      </c>
      <c r="V748" s="508">
        <v>1000000</v>
      </c>
      <c r="W748" s="508"/>
      <c r="X748" s="491"/>
      <c r="Y748" s="485" t="s">
        <v>1442</v>
      </c>
    </row>
    <row r="749" spans="2:25" ht="102" x14ac:dyDescent="0.25">
      <c r="B749" s="1883"/>
      <c r="C749" s="492"/>
      <c r="D749" s="492"/>
      <c r="E749" s="492"/>
      <c r="F749" s="648"/>
      <c r="G749" s="487" t="s">
        <v>2990</v>
      </c>
      <c r="H749" s="487" t="s">
        <v>2991</v>
      </c>
      <c r="I749" s="488" t="s">
        <v>327</v>
      </c>
      <c r="J749" s="502"/>
      <c r="K749" s="489">
        <v>5</v>
      </c>
      <c r="L749" s="489">
        <v>250000</v>
      </c>
      <c r="M749" s="489">
        <v>6</v>
      </c>
      <c r="N749" s="489">
        <v>300000</v>
      </c>
      <c r="O749" s="489">
        <v>7</v>
      </c>
      <c r="P749" s="489">
        <v>350000</v>
      </c>
      <c r="Q749" s="489">
        <v>8</v>
      </c>
      <c r="R749" s="489">
        <v>400000</v>
      </c>
      <c r="S749" s="489">
        <v>9</v>
      </c>
      <c r="T749" s="489">
        <v>450000</v>
      </c>
      <c r="U749" s="489">
        <v>9</v>
      </c>
      <c r="V749" s="489">
        <v>450000</v>
      </c>
      <c r="W749" s="489" t="s">
        <v>2992</v>
      </c>
      <c r="X749" s="509"/>
      <c r="Y749" s="485" t="s">
        <v>1442</v>
      </c>
    </row>
    <row r="750" spans="2:25" ht="51" x14ac:dyDescent="0.25">
      <c r="B750" s="1883"/>
      <c r="C750" s="492"/>
      <c r="D750" s="492"/>
      <c r="E750" s="492"/>
      <c r="F750" s="648"/>
      <c r="G750" s="487" t="s">
        <v>2993</v>
      </c>
      <c r="H750" s="487" t="s">
        <v>2994</v>
      </c>
      <c r="I750" s="488" t="s">
        <v>327</v>
      </c>
      <c r="J750" s="502"/>
      <c r="K750" s="489">
        <v>6</v>
      </c>
      <c r="L750" s="489">
        <v>142500</v>
      </c>
      <c r="M750" s="489">
        <v>10</v>
      </c>
      <c r="N750" s="489">
        <v>200000</v>
      </c>
      <c r="O750" s="489">
        <v>15</v>
      </c>
      <c r="P750" s="489">
        <v>250000</v>
      </c>
      <c r="Q750" s="489">
        <v>20</v>
      </c>
      <c r="R750" s="489">
        <v>300000</v>
      </c>
      <c r="S750" s="489">
        <v>25</v>
      </c>
      <c r="T750" s="489">
        <v>350000</v>
      </c>
      <c r="U750" s="489">
        <v>25</v>
      </c>
      <c r="V750" s="489">
        <v>350000</v>
      </c>
      <c r="W750" s="489"/>
      <c r="X750" s="491"/>
      <c r="Y750" s="485" t="s">
        <v>1442</v>
      </c>
    </row>
    <row r="751" spans="2:25" ht="38.25" x14ac:dyDescent="0.25">
      <c r="B751" s="1883"/>
      <c r="C751" s="492"/>
      <c r="D751" s="492"/>
      <c r="E751" s="492"/>
      <c r="F751" s="648"/>
      <c r="G751" s="487" t="s">
        <v>2995</v>
      </c>
      <c r="H751" s="487" t="s">
        <v>2996</v>
      </c>
      <c r="I751" s="488" t="s">
        <v>2997</v>
      </c>
      <c r="J751" s="502"/>
      <c r="K751" s="489">
        <v>200</v>
      </c>
      <c r="L751" s="489">
        <v>21000</v>
      </c>
      <c r="M751" s="489">
        <v>250</v>
      </c>
      <c r="N751" s="489">
        <v>25000</v>
      </c>
      <c r="O751" s="489">
        <v>300</v>
      </c>
      <c r="P751" s="489">
        <v>30000</v>
      </c>
      <c r="Q751" s="489">
        <v>350</v>
      </c>
      <c r="R751" s="489">
        <v>35000</v>
      </c>
      <c r="S751" s="489">
        <v>400</v>
      </c>
      <c r="T751" s="489">
        <v>40000</v>
      </c>
      <c r="U751" s="489">
        <v>400</v>
      </c>
      <c r="V751" s="489">
        <v>40000</v>
      </c>
      <c r="W751" s="489"/>
      <c r="X751" s="491"/>
      <c r="Y751" s="485" t="s">
        <v>1442</v>
      </c>
    </row>
    <row r="752" spans="2:25" ht="72" x14ac:dyDescent="0.25">
      <c r="B752" s="1883"/>
      <c r="C752" s="492"/>
      <c r="D752" s="492"/>
      <c r="E752" s="492"/>
      <c r="F752" s="649"/>
      <c r="G752" s="480" t="s">
        <v>1447</v>
      </c>
      <c r="H752" s="480" t="s">
        <v>1448</v>
      </c>
      <c r="I752" s="481" t="s">
        <v>1449</v>
      </c>
      <c r="J752" s="482">
        <v>0</v>
      </c>
      <c r="K752" s="483">
        <v>15</v>
      </c>
      <c r="L752" s="483">
        <f>SUM(L753:L755)</f>
        <v>162600</v>
      </c>
      <c r="M752" s="483">
        <v>20</v>
      </c>
      <c r="N752" s="483">
        <f>SUM(N753:N755)</f>
        <v>180000</v>
      </c>
      <c r="O752" s="483">
        <v>25</v>
      </c>
      <c r="P752" s="483">
        <f>SUM(P753:P755)</f>
        <v>200000</v>
      </c>
      <c r="Q752" s="483">
        <v>30</v>
      </c>
      <c r="R752" s="483">
        <f>SUM(R753:R755)</f>
        <v>220000</v>
      </c>
      <c r="S752" s="483">
        <v>35</v>
      </c>
      <c r="T752" s="483">
        <f>SUM(T753:T755)</f>
        <v>240000</v>
      </c>
      <c r="U752" s="483">
        <v>35</v>
      </c>
      <c r="V752" s="483">
        <f>SUM(V753:V755)</f>
        <v>240000</v>
      </c>
      <c r="W752" s="483">
        <v>125</v>
      </c>
      <c r="X752" s="485"/>
      <c r="Y752" s="485" t="s">
        <v>1442</v>
      </c>
    </row>
    <row r="753" spans="1:25" ht="51" x14ac:dyDescent="0.25">
      <c r="B753" s="1883"/>
      <c r="C753" s="492"/>
      <c r="D753" s="492"/>
      <c r="E753" s="492"/>
      <c r="F753" s="648"/>
      <c r="G753" s="487" t="s">
        <v>2998</v>
      </c>
      <c r="H753" s="487" t="s">
        <v>2999</v>
      </c>
      <c r="I753" s="488" t="s">
        <v>1449</v>
      </c>
      <c r="J753" s="502"/>
      <c r="K753" s="489">
        <v>15</v>
      </c>
      <c r="L753" s="489">
        <v>12600</v>
      </c>
      <c r="M753" s="489">
        <v>20</v>
      </c>
      <c r="N753" s="489">
        <v>30000</v>
      </c>
      <c r="O753" s="489">
        <v>25</v>
      </c>
      <c r="P753" s="489">
        <v>50000</v>
      </c>
      <c r="Q753" s="489">
        <v>30</v>
      </c>
      <c r="R753" s="489">
        <v>70000</v>
      </c>
      <c r="S753" s="489">
        <v>35</v>
      </c>
      <c r="T753" s="489">
        <v>90000</v>
      </c>
      <c r="U753" s="489">
        <v>35</v>
      </c>
      <c r="V753" s="489">
        <v>90000</v>
      </c>
      <c r="W753" s="489"/>
      <c r="X753" s="491"/>
      <c r="Y753" s="485" t="s">
        <v>1442</v>
      </c>
    </row>
    <row r="754" spans="1:25" ht="63.75" x14ac:dyDescent="0.25">
      <c r="B754" s="1883"/>
      <c r="C754" s="492"/>
      <c r="D754" s="492"/>
      <c r="E754" s="492"/>
      <c r="F754" s="648"/>
      <c r="G754" s="1977" t="s">
        <v>3000</v>
      </c>
      <c r="H754" s="487" t="s">
        <v>3001</v>
      </c>
      <c r="I754" s="488" t="s">
        <v>1449</v>
      </c>
      <c r="J754" s="502"/>
      <c r="K754" s="489">
        <v>20</v>
      </c>
      <c r="L754" s="510">
        <v>150000</v>
      </c>
      <c r="M754" s="489">
        <v>30</v>
      </c>
      <c r="N754" s="510">
        <v>150000</v>
      </c>
      <c r="O754" s="489">
        <v>30</v>
      </c>
      <c r="P754" s="510">
        <v>150000</v>
      </c>
      <c r="Q754" s="489">
        <v>30</v>
      </c>
      <c r="R754" s="510">
        <v>150000</v>
      </c>
      <c r="S754" s="489">
        <v>30</v>
      </c>
      <c r="T754" s="510">
        <v>150000</v>
      </c>
      <c r="U754" s="489">
        <v>30</v>
      </c>
      <c r="V754" s="510">
        <v>150000</v>
      </c>
      <c r="W754" s="489"/>
      <c r="X754" s="491"/>
      <c r="Y754" s="485" t="s">
        <v>1442</v>
      </c>
    </row>
    <row r="755" spans="1:25" ht="51" x14ac:dyDescent="0.25">
      <c r="B755" s="1883"/>
      <c r="C755" s="492"/>
      <c r="D755" s="492"/>
      <c r="E755" s="492"/>
      <c r="F755" s="648"/>
      <c r="G755" s="1979"/>
      <c r="H755" s="487" t="s">
        <v>3002</v>
      </c>
      <c r="I755" s="488"/>
      <c r="J755" s="502"/>
      <c r="K755" s="489">
        <v>3</v>
      </c>
      <c r="L755" s="511"/>
      <c r="M755" s="489">
        <v>3</v>
      </c>
      <c r="N755" s="511"/>
      <c r="O755" s="489">
        <v>3</v>
      </c>
      <c r="P755" s="511"/>
      <c r="Q755" s="489">
        <v>3</v>
      </c>
      <c r="R755" s="511"/>
      <c r="S755" s="489">
        <v>3</v>
      </c>
      <c r="T755" s="511"/>
      <c r="U755" s="489">
        <v>3</v>
      </c>
      <c r="V755" s="511"/>
      <c r="W755" s="489"/>
      <c r="X755" s="491"/>
      <c r="Y755" s="485" t="s">
        <v>1442</v>
      </c>
    </row>
    <row r="756" spans="1:25" ht="60" x14ac:dyDescent="0.25">
      <c r="B756" s="1883"/>
      <c r="C756" s="492"/>
      <c r="D756" s="492"/>
      <c r="E756" s="492"/>
      <c r="F756" s="649"/>
      <c r="G756" s="480" t="s">
        <v>1450</v>
      </c>
      <c r="H756" s="480" t="s">
        <v>1451</v>
      </c>
      <c r="I756" s="481" t="s">
        <v>1449</v>
      </c>
      <c r="J756" s="482">
        <v>0</v>
      </c>
      <c r="K756" s="483">
        <v>30</v>
      </c>
      <c r="L756" s="483">
        <f>SUM(L757:L759)</f>
        <v>30000</v>
      </c>
      <c r="M756" s="483">
        <v>40</v>
      </c>
      <c r="N756" s="483">
        <f>SUM(N757:N759)</f>
        <v>40000</v>
      </c>
      <c r="O756" s="483">
        <v>50</v>
      </c>
      <c r="P756" s="483">
        <f>SUM(P757:P759)</f>
        <v>50000</v>
      </c>
      <c r="Q756" s="483">
        <v>60</v>
      </c>
      <c r="R756" s="483">
        <f>SUM(R757:R759)</f>
        <v>60000</v>
      </c>
      <c r="S756" s="483">
        <v>70</v>
      </c>
      <c r="T756" s="483">
        <f>SUM(T757:T759)</f>
        <v>70000</v>
      </c>
      <c r="U756" s="483">
        <v>70</v>
      </c>
      <c r="V756" s="483">
        <f>SUM(V757:V759)</f>
        <v>70000</v>
      </c>
      <c r="W756" s="483">
        <v>250</v>
      </c>
      <c r="X756" s="485"/>
      <c r="Y756" s="485" t="s">
        <v>1442</v>
      </c>
    </row>
    <row r="757" spans="1:25" ht="127.5" x14ac:dyDescent="0.25">
      <c r="B757" s="1883"/>
      <c r="C757" s="492"/>
      <c r="D757" s="492"/>
      <c r="E757" s="492"/>
      <c r="F757" s="648"/>
      <c r="G757" s="1977" t="s">
        <v>3003</v>
      </c>
      <c r="H757" s="487" t="s">
        <v>3004</v>
      </c>
      <c r="I757" s="488" t="s">
        <v>1449</v>
      </c>
      <c r="J757" s="502"/>
      <c r="K757" s="489">
        <v>30</v>
      </c>
      <c r="L757" s="490">
        <v>30000</v>
      </c>
      <c r="M757" s="489">
        <v>40</v>
      </c>
      <c r="N757" s="490">
        <v>40000</v>
      </c>
      <c r="O757" s="489">
        <v>50</v>
      </c>
      <c r="P757" s="490">
        <v>50000</v>
      </c>
      <c r="Q757" s="489">
        <v>60</v>
      </c>
      <c r="R757" s="490">
        <v>60000</v>
      </c>
      <c r="S757" s="489">
        <v>70</v>
      </c>
      <c r="T757" s="490">
        <v>70000</v>
      </c>
      <c r="U757" s="489">
        <v>70</v>
      </c>
      <c r="V757" s="490">
        <v>70000</v>
      </c>
      <c r="W757" s="489"/>
      <c r="X757" s="491"/>
      <c r="Y757" s="485" t="s">
        <v>1442</v>
      </c>
    </row>
    <row r="758" spans="1:25" ht="76.5" x14ac:dyDescent="0.25">
      <c r="B758" s="1883"/>
      <c r="C758" s="492"/>
      <c r="D758" s="492"/>
      <c r="E758" s="492"/>
      <c r="F758" s="648"/>
      <c r="G758" s="1978"/>
      <c r="H758" s="487" t="s">
        <v>3005</v>
      </c>
      <c r="I758" s="488" t="s">
        <v>1449</v>
      </c>
      <c r="J758" s="502"/>
      <c r="K758" s="489">
        <v>10</v>
      </c>
      <c r="L758" s="493">
        <v>0</v>
      </c>
      <c r="M758" s="489">
        <v>10</v>
      </c>
      <c r="N758" s="493">
        <v>0</v>
      </c>
      <c r="O758" s="489">
        <v>10</v>
      </c>
      <c r="P758" s="493">
        <v>0</v>
      </c>
      <c r="Q758" s="489">
        <v>10</v>
      </c>
      <c r="R758" s="493">
        <v>0</v>
      </c>
      <c r="S758" s="489">
        <v>10</v>
      </c>
      <c r="T758" s="493">
        <v>0</v>
      </c>
      <c r="U758" s="489">
        <v>10</v>
      </c>
      <c r="V758" s="493">
        <v>0</v>
      </c>
      <c r="W758" s="489"/>
      <c r="X758" s="491"/>
      <c r="Y758" s="485" t="s">
        <v>1442</v>
      </c>
    </row>
    <row r="759" spans="1:25" ht="63.75" x14ac:dyDescent="0.25">
      <c r="B759" s="1883"/>
      <c r="C759" s="492"/>
      <c r="D759" s="492"/>
      <c r="E759" s="492"/>
      <c r="F759" s="648"/>
      <c r="G759" s="1979"/>
      <c r="H759" s="487" t="s">
        <v>3006</v>
      </c>
      <c r="I759" s="488"/>
      <c r="J759" s="502"/>
      <c r="K759" s="489">
        <v>50</v>
      </c>
      <c r="L759" s="496">
        <v>0</v>
      </c>
      <c r="M759" s="489">
        <v>100</v>
      </c>
      <c r="N759" s="496">
        <v>0</v>
      </c>
      <c r="O759" s="489">
        <v>150</v>
      </c>
      <c r="P759" s="496">
        <v>0</v>
      </c>
      <c r="Q759" s="489">
        <v>200</v>
      </c>
      <c r="R759" s="496">
        <v>0</v>
      </c>
      <c r="S759" s="489">
        <v>250</v>
      </c>
      <c r="T759" s="496">
        <v>0</v>
      </c>
      <c r="U759" s="489">
        <v>250</v>
      </c>
      <c r="V759" s="496">
        <v>0</v>
      </c>
      <c r="W759" s="489"/>
      <c r="X759" s="491"/>
      <c r="Y759" s="485" t="s">
        <v>1442</v>
      </c>
    </row>
    <row r="760" spans="1:25" ht="60" x14ac:dyDescent="0.25">
      <c r="B760" s="1883"/>
      <c r="C760" s="492"/>
      <c r="D760" s="492"/>
      <c r="E760" s="492"/>
      <c r="F760" s="505"/>
      <c r="G760" s="480" t="s">
        <v>1452</v>
      </c>
      <c r="H760" s="480" t="s">
        <v>1453</v>
      </c>
      <c r="I760" s="481" t="s">
        <v>1449</v>
      </c>
      <c r="J760" s="482">
        <v>0</v>
      </c>
      <c r="K760" s="483">
        <v>4</v>
      </c>
      <c r="L760" s="483">
        <f>SUM(L761)</f>
        <v>20000</v>
      </c>
      <c r="M760" s="483">
        <v>6</v>
      </c>
      <c r="N760" s="483">
        <f>SUM(N761)</f>
        <v>30000</v>
      </c>
      <c r="O760" s="483">
        <v>8</v>
      </c>
      <c r="P760" s="483">
        <f>SUM(P761)</f>
        <v>40000</v>
      </c>
      <c r="Q760" s="483">
        <v>10</v>
      </c>
      <c r="R760" s="483">
        <f>SUM(R761)</f>
        <v>50000</v>
      </c>
      <c r="S760" s="483">
        <v>10</v>
      </c>
      <c r="T760" s="483">
        <f>SUM(T761)</f>
        <v>50000</v>
      </c>
      <c r="U760" s="483">
        <v>10</v>
      </c>
      <c r="V760" s="483">
        <f>SUM(V761)</f>
        <v>50000</v>
      </c>
      <c r="W760" s="483">
        <v>38</v>
      </c>
      <c r="X760" s="485"/>
      <c r="Y760" s="485" t="s">
        <v>1442</v>
      </c>
    </row>
    <row r="761" spans="1:25" ht="89.25" x14ac:dyDescent="0.25">
      <c r="B761" s="1883"/>
      <c r="C761" s="492"/>
      <c r="D761" s="492"/>
      <c r="E761" s="492"/>
      <c r="F761" s="648"/>
      <c r="G761" s="487" t="s">
        <v>3007</v>
      </c>
      <c r="H761" s="487" t="s">
        <v>3008</v>
      </c>
      <c r="I761" s="488" t="s">
        <v>1449</v>
      </c>
      <c r="J761" s="502"/>
      <c r="K761" s="489">
        <v>4</v>
      </c>
      <c r="L761" s="489">
        <v>20000</v>
      </c>
      <c r="M761" s="489">
        <v>6</v>
      </c>
      <c r="N761" s="489">
        <v>30000</v>
      </c>
      <c r="O761" s="489">
        <v>8</v>
      </c>
      <c r="P761" s="489">
        <v>40000</v>
      </c>
      <c r="Q761" s="489">
        <v>10</v>
      </c>
      <c r="R761" s="489">
        <v>50000</v>
      </c>
      <c r="S761" s="489">
        <v>10</v>
      </c>
      <c r="T761" s="489">
        <v>50000</v>
      </c>
      <c r="U761" s="489">
        <v>10</v>
      </c>
      <c r="V761" s="489">
        <v>50000</v>
      </c>
      <c r="W761" s="489"/>
      <c r="X761" s="491"/>
      <c r="Y761" s="485" t="s">
        <v>1442</v>
      </c>
    </row>
    <row r="762" spans="1:25" x14ac:dyDescent="0.25">
      <c r="B762" s="1883"/>
      <c r="C762" s="487"/>
      <c r="D762" s="487"/>
      <c r="E762" s="487"/>
      <c r="F762" s="692"/>
      <c r="G762" s="487"/>
      <c r="H762" s="487"/>
      <c r="I762" s="488"/>
      <c r="J762" s="502"/>
      <c r="K762" s="489"/>
      <c r="L762" s="489"/>
      <c r="M762" s="489"/>
      <c r="N762" s="489"/>
      <c r="O762" s="489"/>
      <c r="P762" s="489"/>
      <c r="Q762" s="489"/>
      <c r="R762" s="489"/>
      <c r="S762" s="489"/>
      <c r="T762" s="489"/>
      <c r="U762" s="489"/>
      <c r="V762" s="489"/>
      <c r="W762" s="489"/>
      <c r="X762" s="1884"/>
      <c r="Y762" s="485"/>
    </row>
    <row r="763" spans="1:25" ht="72" x14ac:dyDescent="0.25">
      <c r="A763" s="197"/>
      <c r="B763" s="1883"/>
      <c r="C763" s="1974" t="s">
        <v>4103</v>
      </c>
      <c r="D763" s="1974" t="s">
        <v>4035</v>
      </c>
      <c r="E763" s="1882" t="s">
        <v>4102</v>
      </c>
      <c r="F763" s="172" t="s">
        <v>4034</v>
      </c>
      <c r="G763" s="976" t="s">
        <v>4033</v>
      </c>
      <c r="H763" s="655"/>
      <c r="I763" s="189" t="s">
        <v>75</v>
      </c>
      <c r="J763" s="1835">
        <v>1718</v>
      </c>
      <c r="K763" s="1835">
        <v>1059</v>
      </c>
      <c r="M763" s="1835">
        <v>2088</v>
      </c>
      <c r="O763" s="1835">
        <v>2088</v>
      </c>
      <c r="P763" s="535"/>
      <c r="Q763" s="1835">
        <v>2299</v>
      </c>
      <c r="R763" s="535"/>
      <c r="S763" s="1835">
        <v>2380</v>
      </c>
      <c r="T763" s="535"/>
      <c r="U763" s="1835">
        <v>2413</v>
      </c>
      <c r="V763" s="535"/>
      <c r="W763" s="1835">
        <v>2413</v>
      </c>
      <c r="X763" s="655"/>
      <c r="Y763" s="485" t="s">
        <v>1442</v>
      </c>
    </row>
    <row r="764" spans="1:25" ht="48" x14ac:dyDescent="0.25">
      <c r="B764" s="1883"/>
      <c r="C764" s="1975"/>
      <c r="D764" s="1975"/>
      <c r="E764" s="492"/>
      <c r="F764" s="505"/>
      <c r="G764" s="480" t="s">
        <v>1458</v>
      </c>
      <c r="H764" s="480" t="s">
        <v>1457</v>
      </c>
      <c r="I764" s="481" t="s">
        <v>275</v>
      </c>
      <c r="J764" s="482">
        <v>4</v>
      </c>
      <c r="K764" s="483">
        <v>4</v>
      </c>
      <c r="L764" s="483">
        <f>SUM(L765:L768)</f>
        <v>89300</v>
      </c>
      <c r="M764" s="483">
        <v>4</v>
      </c>
      <c r="N764" s="483">
        <f>SUM(N765:N768)</f>
        <v>195000</v>
      </c>
      <c r="O764" s="483">
        <v>4</v>
      </c>
      <c r="P764" s="483">
        <f>SUM(P765:P768)</f>
        <v>225000</v>
      </c>
      <c r="Q764" s="483">
        <v>4</v>
      </c>
      <c r="R764" s="483">
        <f>SUM(R765:R768)</f>
        <v>260000</v>
      </c>
      <c r="S764" s="483">
        <v>4</v>
      </c>
      <c r="T764" s="483">
        <f>SUM(T765:T768)</f>
        <v>310000</v>
      </c>
      <c r="U764" s="483">
        <v>4</v>
      </c>
      <c r="V764" s="483">
        <f>SUM(V765:V768)</f>
        <v>310000</v>
      </c>
      <c r="W764" s="483">
        <v>28</v>
      </c>
      <c r="X764" s="485"/>
      <c r="Y764" s="485" t="s">
        <v>1442</v>
      </c>
    </row>
    <row r="765" spans="1:25" ht="76.5" x14ac:dyDescent="0.25">
      <c r="B765" s="1883"/>
      <c r="C765" s="1975"/>
      <c r="D765" s="1975"/>
      <c r="E765" s="492"/>
      <c r="F765" s="648"/>
      <c r="G765" s="487" t="s">
        <v>3011</v>
      </c>
      <c r="H765" s="487" t="s">
        <v>3012</v>
      </c>
      <c r="I765" s="488" t="s">
        <v>109</v>
      </c>
      <c r="J765" s="502"/>
      <c r="K765" s="489">
        <v>26</v>
      </c>
      <c r="L765" s="489">
        <v>13300</v>
      </c>
      <c r="M765" s="489">
        <v>26</v>
      </c>
      <c r="N765" s="489">
        <v>40000</v>
      </c>
      <c r="O765" s="489">
        <v>26</v>
      </c>
      <c r="P765" s="489">
        <v>50000</v>
      </c>
      <c r="Q765" s="489">
        <v>26</v>
      </c>
      <c r="R765" s="489">
        <v>50000</v>
      </c>
      <c r="S765" s="489">
        <v>26</v>
      </c>
      <c r="T765" s="489">
        <v>60000</v>
      </c>
      <c r="U765" s="489">
        <v>26</v>
      </c>
      <c r="V765" s="489">
        <v>60000</v>
      </c>
      <c r="W765" s="489"/>
      <c r="X765" s="491"/>
      <c r="Y765" s="485" t="s">
        <v>1442</v>
      </c>
    </row>
    <row r="766" spans="1:25" ht="63.75" x14ac:dyDescent="0.25">
      <c r="B766" s="1883"/>
      <c r="C766" s="492"/>
      <c r="D766" s="492"/>
      <c r="E766" s="492"/>
      <c r="F766" s="648"/>
      <c r="G766" s="487" t="s">
        <v>3013</v>
      </c>
      <c r="H766" s="487" t="s">
        <v>3014</v>
      </c>
      <c r="I766" s="488" t="s">
        <v>364</v>
      </c>
      <c r="J766" s="502"/>
      <c r="K766" s="489">
        <v>120</v>
      </c>
      <c r="L766" s="489">
        <v>40000</v>
      </c>
      <c r="M766" s="489">
        <v>120</v>
      </c>
      <c r="N766" s="489">
        <v>75000</v>
      </c>
      <c r="O766" s="489">
        <v>150</v>
      </c>
      <c r="P766" s="489">
        <v>85000</v>
      </c>
      <c r="Q766" s="489">
        <v>150</v>
      </c>
      <c r="R766" s="489">
        <v>85000</v>
      </c>
      <c r="S766" s="489">
        <v>150</v>
      </c>
      <c r="T766" s="489">
        <v>100000</v>
      </c>
      <c r="U766" s="489">
        <v>150</v>
      </c>
      <c r="V766" s="489">
        <v>100000</v>
      </c>
      <c r="W766" s="489"/>
      <c r="X766" s="491"/>
      <c r="Y766" s="485" t="s">
        <v>1442</v>
      </c>
    </row>
    <row r="767" spans="1:25" ht="38.25" x14ac:dyDescent="0.25">
      <c r="B767" s="1883"/>
      <c r="C767" s="492"/>
      <c r="D767" s="492"/>
      <c r="E767" s="492"/>
      <c r="F767" s="648"/>
      <c r="G767" s="487" t="s">
        <v>3015</v>
      </c>
      <c r="H767" s="487" t="s">
        <v>3016</v>
      </c>
      <c r="I767" s="488" t="s">
        <v>109</v>
      </c>
      <c r="J767" s="502"/>
      <c r="K767" s="489">
        <v>26</v>
      </c>
      <c r="L767" s="489">
        <v>6000</v>
      </c>
      <c r="M767" s="489">
        <v>26</v>
      </c>
      <c r="N767" s="489">
        <v>40000</v>
      </c>
      <c r="O767" s="489">
        <v>26</v>
      </c>
      <c r="P767" s="489">
        <v>50000</v>
      </c>
      <c r="Q767" s="489">
        <v>26</v>
      </c>
      <c r="R767" s="489">
        <v>75000</v>
      </c>
      <c r="S767" s="489">
        <v>26</v>
      </c>
      <c r="T767" s="489">
        <v>100000</v>
      </c>
      <c r="U767" s="489">
        <v>26</v>
      </c>
      <c r="V767" s="489">
        <v>100000</v>
      </c>
      <c r="W767" s="489"/>
      <c r="X767" s="491"/>
      <c r="Y767" s="485" t="s">
        <v>1442</v>
      </c>
    </row>
    <row r="768" spans="1:25" ht="51" x14ac:dyDescent="0.25">
      <c r="B768" s="1883"/>
      <c r="C768" s="492"/>
      <c r="D768" s="492"/>
      <c r="E768" s="492"/>
      <c r="F768" s="648"/>
      <c r="G768" s="487" t="s">
        <v>3017</v>
      </c>
      <c r="H768" s="487" t="s">
        <v>3018</v>
      </c>
      <c r="I768" s="488" t="s">
        <v>109</v>
      </c>
      <c r="J768" s="502"/>
      <c r="K768" s="489">
        <v>26</v>
      </c>
      <c r="L768" s="489">
        <v>30000</v>
      </c>
      <c r="M768" s="489">
        <v>26</v>
      </c>
      <c r="N768" s="489">
        <v>40000</v>
      </c>
      <c r="O768" s="489">
        <v>26</v>
      </c>
      <c r="P768" s="489">
        <v>40000</v>
      </c>
      <c r="Q768" s="489">
        <v>26</v>
      </c>
      <c r="R768" s="489">
        <v>50000</v>
      </c>
      <c r="S768" s="489">
        <v>26</v>
      </c>
      <c r="T768" s="489">
        <v>50000</v>
      </c>
      <c r="U768" s="489">
        <v>26</v>
      </c>
      <c r="V768" s="489">
        <v>50000</v>
      </c>
      <c r="W768" s="489"/>
      <c r="X768" s="491"/>
      <c r="Y768" s="485" t="s">
        <v>1442</v>
      </c>
    </row>
    <row r="769" spans="2:25" ht="102" x14ac:dyDescent="0.25">
      <c r="B769" s="1883"/>
      <c r="C769" s="492"/>
      <c r="D769" s="492"/>
      <c r="E769" s="492"/>
      <c r="F769" s="505"/>
      <c r="G769" s="480" t="s">
        <v>1455</v>
      </c>
      <c r="H769" s="480" t="s">
        <v>1454</v>
      </c>
      <c r="I769" s="481" t="s">
        <v>1413</v>
      </c>
      <c r="J769" s="482">
        <v>0</v>
      </c>
      <c r="K769" s="480">
        <v>6</v>
      </c>
      <c r="L769" s="504">
        <f>SUM(L770)</f>
        <v>13000</v>
      </c>
      <c r="M769" s="480">
        <v>2</v>
      </c>
      <c r="N769" s="504">
        <f>SUM(N770)</f>
        <v>75000</v>
      </c>
      <c r="O769" s="480">
        <v>2</v>
      </c>
      <c r="P769" s="504">
        <f>SUM(P770)</f>
        <v>100000</v>
      </c>
      <c r="Q769" s="480">
        <v>2</v>
      </c>
      <c r="R769" s="504">
        <f>SUM(R770)</f>
        <v>125000</v>
      </c>
      <c r="S769" s="480">
        <v>2</v>
      </c>
      <c r="T769" s="504">
        <f>SUM(T770)</f>
        <v>150000</v>
      </c>
      <c r="U769" s="480">
        <v>2</v>
      </c>
      <c r="V769" s="504">
        <f>SUM(V770)</f>
        <v>150000</v>
      </c>
      <c r="W769" s="483">
        <v>14</v>
      </c>
      <c r="X769" s="491" t="s">
        <v>1456</v>
      </c>
      <c r="Y769" s="485" t="s">
        <v>1442</v>
      </c>
    </row>
    <row r="770" spans="2:25" ht="76.5" x14ac:dyDescent="0.25">
      <c r="B770" s="1883"/>
      <c r="C770" s="492"/>
      <c r="D770" s="492"/>
      <c r="E770" s="492"/>
      <c r="F770" s="648"/>
      <c r="G770" s="487" t="s">
        <v>3009</v>
      </c>
      <c r="H770" s="487" t="s">
        <v>3010</v>
      </c>
      <c r="I770" s="488" t="s">
        <v>1413</v>
      </c>
      <c r="J770" s="502">
        <v>0</v>
      </c>
      <c r="K770" s="489">
        <v>6</v>
      </c>
      <c r="L770" s="489">
        <v>13000</v>
      </c>
      <c r="M770" s="489">
        <v>2</v>
      </c>
      <c r="N770" s="489">
        <v>75000</v>
      </c>
      <c r="O770" s="489">
        <v>2</v>
      </c>
      <c r="P770" s="489">
        <v>100000</v>
      </c>
      <c r="Q770" s="489">
        <v>2</v>
      </c>
      <c r="R770" s="489">
        <v>125000</v>
      </c>
      <c r="S770" s="489">
        <v>2</v>
      </c>
      <c r="T770" s="489">
        <v>150000</v>
      </c>
      <c r="U770" s="489">
        <v>2</v>
      </c>
      <c r="V770" s="489">
        <v>150000</v>
      </c>
      <c r="W770" s="489"/>
      <c r="X770" s="491"/>
      <c r="Y770" s="485" t="s">
        <v>1442</v>
      </c>
    </row>
    <row r="771" spans="2:25" ht="60" x14ac:dyDescent="0.25">
      <c r="B771" s="1883"/>
      <c r="C771" s="492"/>
      <c r="D771" s="492"/>
      <c r="E771" s="492"/>
      <c r="F771" s="505"/>
      <c r="G771" s="480" t="s">
        <v>1444</v>
      </c>
      <c r="H771" s="480" t="s">
        <v>1443</v>
      </c>
      <c r="I771" s="497" t="s">
        <v>19</v>
      </c>
      <c r="J771" s="498">
        <v>31.111111111111111</v>
      </c>
      <c r="K771" s="499">
        <v>40</v>
      </c>
      <c r="L771" s="500">
        <f>SUM(L772:L779)</f>
        <v>32365500</v>
      </c>
      <c r="M771" s="499">
        <v>48.888888888888886</v>
      </c>
      <c r="N771" s="500">
        <f>SUM(N772:N779)</f>
        <v>40604000</v>
      </c>
      <c r="O771" s="499">
        <v>60</v>
      </c>
      <c r="P771" s="500">
        <f>SUM(P772:P779)</f>
        <v>59110000</v>
      </c>
      <c r="Q771" s="499">
        <v>71.111111111111114</v>
      </c>
      <c r="R771" s="500">
        <f>SUM(R772:R779)</f>
        <v>52974000</v>
      </c>
      <c r="S771" s="499">
        <v>77.777777777777786</v>
      </c>
      <c r="T771" s="500">
        <f>SUM(T772:T779)</f>
        <v>31417000</v>
      </c>
      <c r="U771" s="499">
        <v>100</v>
      </c>
      <c r="V771" s="500">
        <f>SUM(V772:V779)</f>
        <v>31417000</v>
      </c>
      <c r="W771" s="501">
        <v>77.777777777777786</v>
      </c>
      <c r="X771" s="485"/>
      <c r="Y771" s="485" t="s">
        <v>1442</v>
      </c>
    </row>
    <row r="772" spans="2:25" ht="102" x14ac:dyDescent="0.25">
      <c r="B772" s="1883"/>
      <c r="C772" s="492"/>
      <c r="D772" s="492"/>
      <c r="E772" s="492"/>
      <c r="F772" s="648"/>
      <c r="G772" s="487" t="s">
        <v>2975</v>
      </c>
      <c r="H772" s="487" t="s">
        <v>2976</v>
      </c>
      <c r="I772" s="488" t="s">
        <v>1407</v>
      </c>
      <c r="J772" s="502">
        <v>2</v>
      </c>
      <c r="K772" s="489">
        <v>2</v>
      </c>
      <c r="L772" s="489">
        <v>250000</v>
      </c>
      <c r="M772" s="489">
        <v>3</v>
      </c>
      <c r="N772" s="489">
        <v>175000</v>
      </c>
      <c r="O772" s="489">
        <v>4</v>
      </c>
      <c r="P772" s="489">
        <v>200000</v>
      </c>
      <c r="Q772" s="489">
        <v>5</v>
      </c>
      <c r="R772" s="489">
        <v>225000</v>
      </c>
      <c r="S772" s="489">
        <v>6</v>
      </c>
      <c r="T772" s="489">
        <v>250000</v>
      </c>
      <c r="U772" s="489">
        <v>6</v>
      </c>
      <c r="V772" s="489">
        <v>250000</v>
      </c>
      <c r="W772" s="489"/>
      <c r="X772" s="491"/>
      <c r="Y772" s="485" t="s">
        <v>1442</v>
      </c>
    </row>
    <row r="773" spans="2:25" ht="51" x14ac:dyDescent="0.25">
      <c r="B773" s="1883"/>
      <c r="C773" s="492"/>
      <c r="D773" s="492"/>
      <c r="E773" s="492"/>
      <c r="F773" s="648"/>
      <c r="G773" s="487" t="s">
        <v>2977</v>
      </c>
      <c r="H773" s="487" t="s">
        <v>2978</v>
      </c>
      <c r="I773" s="488" t="s">
        <v>103</v>
      </c>
      <c r="J773" s="502">
        <v>5</v>
      </c>
      <c r="K773" s="489">
        <v>7</v>
      </c>
      <c r="L773" s="489">
        <v>73500</v>
      </c>
      <c r="M773" s="489">
        <v>6</v>
      </c>
      <c r="N773" s="489">
        <v>200000</v>
      </c>
      <c r="O773" s="489">
        <v>6</v>
      </c>
      <c r="P773" s="489">
        <v>200000</v>
      </c>
      <c r="Q773" s="489">
        <v>7</v>
      </c>
      <c r="R773" s="489">
        <v>250000</v>
      </c>
      <c r="S773" s="489">
        <v>8</v>
      </c>
      <c r="T773" s="489">
        <v>300000</v>
      </c>
      <c r="U773" s="489">
        <v>8</v>
      </c>
      <c r="V773" s="489">
        <v>300000</v>
      </c>
      <c r="W773" s="489"/>
      <c r="X773" s="491"/>
      <c r="Y773" s="485" t="s">
        <v>1442</v>
      </c>
    </row>
    <row r="774" spans="2:25" ht="76.5" x14ac:dyDescent="0.25">
      <c r="B774" s="1883"/>
      <c r="C774" s="492"/>
      <c r="D774" s="492"/>
      <c r="E774" s="492"/>
      <c r="F774" s="648"/>
      <c r="G774" s="487" t="s">
        <v>2979</v>
      </c>
      <c r="H774" s="487" t="s">
        <v>2980</v>
      </c>
      <c r="I774" s="488" t="s">
        <v>1413</v>
      </c>
      <c r="J774" s="502">
        <v>5</v>
      </c>
      <c r="K774" s="489">
        <v>5</v>
      </c>
      <c r="L774" s="489">
        <v>10000</v>
      </c>
      <c r="M774" s="489">
        <v>5</v>
      </c>
      <c r="N774" s="489">
        <v>25000</v>
      </c>
      <c r="O774" s="489">
        <v>8</v>
      </c>
      <c r="P774" s="489">
        <v>35000</v>
      </c>
      <c r="Q774" s="489">
        <v>8</v>
      </c>
      <c r="R774" s="489">
        <v>35000</v>
      </c>
      <c r="S774" s="489">
        <v>10</v>
      </c>
      <c r="T774" s="489">
        <v>50000</v>
      </c>
      <c r="U774" s="489">
        <v>10</v>
      </c>
      <c r="V774" s="489">
        <v>50000</v>
      </c>
      <c r="W774" s="489"/>
      <c r="X774" s="491"/>
      <c r="Y774" s="485" t="s">
        <v>1442</v>
      </c>
    </row>
    <row r="775" spans="2:25" ht="76.5" x14ac:dyDescent="0.25">
      <c r="B775" s="1883"/>
      <c r="C775" s="492"/>
      <c r="D775" s="492"/>
      <c r="E775" s="492"/>
      <c r="F775" s="648"/>
      <c r="G775" s="487" t="s">
        <v>2981</v>
      </c>
      <c r="H775" s="487" t="s">
        <v>2982</v>
      </c>
      <c r="I775" s="488" t="s">
        <v>100</v>
      </c>
      <c r="J775" s="502"/>
      <c r="K775" s="489">
        <v>64</v>
      </c>
      <c r="L775" s="489">
        <v>682000</v>
      </c>
      <c r="M775" s="489">
        <v>66</v>
      </c>
      <c r="N775" s="489">
        <v>704000</v>
      </c>
      <c r="O775" s="489">
        <v>68</v>
      </c>
      <c r="P775" s="489">
        <v>725000</v>
      </c>
      <c r="Q775" s="489">
        <v>70</v>
      </c>
      <c r="R775" s="489">
        <v>764000</v>
      </c>
      <c r="S775" s="489">
        <v>72</v>
      </c>
      <c r="T775" s="489">
        <v>767000</v>
      </c>
      <c r="U775" s="489">
        <v>72</v>
      </c>
      <c r="V775" s="489">
        <v>767000</v>
      </c>
      <c r="W775" s="489"/>
      <c r="X775" s="491"/>
      <c r="Y775" s="485" t="s">
        <v>1442</v>
      </c>
    </row>
    <row r="776" spans="2:25" ht="38.25" x14ac:dyDescent="0.25">
      <c r="B776" s="1883"/>
      <c r="C776" s="492"/>
      <c r="D776" s="492"/>
      <c r="E776" s="492"/>
      <c r="F776" s="648"/>
      <c r="G776" s="1980" t="s">
        <v>2983</v>
      </c>
      <c r="H776" s="487" t="s">
        <v>2984</v>
      </c>
      <c r="I776" s="488" t="s">
        <v>75</v>
      </c>
      <c r="J776" s="502"/>
      <c r="K776" s="489">
        <v>1</v>
      </c>
      <c r="L776" s="490">
        <v>31350000</v>
      </c>
      <c r="M776" s="489">
        <v>1</v>
      </c>
      <c r="N776" s="490">
        <v>39500000</v>
      </c>
      <c r="O776" s="489">
        <v>1</v>
      </c>
      <c r="P776" s="490">
        <v>57950000</v>
      </c>
      <c r="Q776" s="489"/>
      <c r="R776" s="490">
        <v>51700000</v>
      </c>
      <c r="S776" s="489"/>
      <c r="T776" s="490">
        <v>30050000</v>
      </c>
      <c r="U776" s="489"/>
      <c r="V776" s="490">
        <v>30050000</v>
      </c>
      <c r="W776" s="489"/>
      <c r="X776" s="491"/>
      <c r="Y776" s="485" t="s">
        <v>1442</v>
      </c>
    </row>
    <row r="777" spans="2:25" ht="38.25" x14ac:dyDescent="0.25">
      <c r="B777" s="1883"/>
      <c r="C777" s="492"/>
      <c r="D777" s="492"/>
      <c r="E777" s="492"/>
      <c r="F777" s="648"/>
      <c r="G777" s="1980"/>
      <c r="H777" s="487" t="s">
        <v>2985</v>
      </c>
      <c r="I777" s="488"/>
      <c r="J777" s="502"/>
      <c r="K777" s="489">
        <v>4</v>
      </c>
      <c r="L777" s="493">
        <v>0</v>
      </c>
      <c r="M777" s="489">
        <v>3</v>
      </c>
      <c r="N777" s="493">
        <v>0</v>
      </c>
      <c r="O777" s="489">
        <v>4</v>
      </c>
      <c r="P777" s="493">
        <v>0</v>
      </c>
      <c r="Q777" s="489">
        <v>4</v>
      </c>
      <c r="R777" s="493">
        <v>0</v>
      </c>
      <c r="S777" s="489">
        <v>7</v>
      </c>
      <c r="T777" s="493">
        <v>0</v>
      </c>
      <c r="U777" s="489">
        <v>7</v>
      </c>
      <c r="V777" s="493">
        <v>0</v>
      </c>
      <c r="W777" s="489"/>
      <c r="X777" s="491"/>
      <c r="Y777" s="485" t="s">
        <v>1442</v>
      </c>
    </row>
    <row r="778" spans="2:25" ht="63.75" x14ac:dyDescent="0.25">
      <c r="B778" s="1883"/>
      <c r="C778" s="492"/>
      <c r="D778" s="492"/>
      <c r="E778" s="492"/>
      <c r="F778" s="648"/>
      <c r="G778" s="1980"/>
      <c r="H778" s="487" t="s">
        <v>2986</v>
      </c>
      <c r="I778" s="488"/>
      <c r="J778" s="502"/>
      <c r="K778" s="489">
        <v>1</v>
      </c>
      <c r="L778" s="493">
        <v>0</v>
      </c>
      <c r="M778" s="489">
        <v>3</v>
      </c>
      <c r="N778" s="493">
        <v>0</v>
      </c>
      <c r="O778" s="489">
        <v>4</v>
      </c>
      <c r="P778" s="493">
        <v>0</v>
      </c>
      <c r="Q778" s="489">
        <v>5</v>
      </c>
      <c r="R778" s="493">
        <v>0</v>
      </c>
      <c r="S778" s="489">
        <v>3</v>
      </c>
      <c r="T778" s="493">
        <v>0</v>
      </c>
      <c r="U778" s="489">
        <v>3</v>
      </c>
      <c r="V778" s="493">
        <v>0</v>
      </c>
      <c r="W778" s="489"/>
      <c r="X778" s="491"/>
      <c r="Y778" s="485" t="s">
        <v>1442</v>
      </c>
    </row>
    <row r="779" spans="2:25" ht="38.25" x14ac:dyDescent="0.25">
      <c r="B779" s="1883"/>
      <c r="C779" s="492"/>
      <c r="D779" s="492"/>
      <c r="E779" s="492"/>
      <c r="F779" s="492"/>
      <c r="G779" s="1980"/>
      <c r="H779" s="487" t="s">
        <v>2987</v>
      </c>
      <c r="I779" s="488"/>
      <c r="J779" s="502"/>
      <c r="K779" s="489">
        <v>4</v>
      </c>
      <c r="L779" s="496">
        <v>0</v>
      </c>
      <c r="M779" s="489">
        <v>4</v>
      </c>
      <c r="N779" s="496">
        <v>0</v>
      </c>
      <c r="O779" s="489">
        <v>4</v>
      </c>
      <c r="P779" s="496">
        <v>0</v>
      </c>
      <c r="Q779" s="489">
        <v>4</v>
      </c>
      <c r="R779" s="496">
        <v>0</v>
      </c>
      <c r="S779" s="489">
        <v>4</v>
      </c>
      <c r="T779" s="496">
        <v>0</v>
      </c>
      <c r="U779" s="489">
        <v>4</v>
      </c>
      <c r="V779" s="496">
        <v>0</v>
      </c>
      <c r="W779" s="489"/>
      <c r="X779" s="491"/>
      <c r="Y779" s="485" t="s">
        <v>1442</v>
      </c>
    </row>
    <row r="780" spans="2:25" ht="15" customHeight="1" x14ac:dyDescent="0.25">
      <c r="B780" s="672"/>
      <c r="C780" s="671"/>
      <c r="D780" s="671"/>
      <c r="E780" s="671"/>
      <c r="F780" s="692"/>
      <c r="G780" s="487"/>
      <c r="H780" s="487"/>
      <c r="I780" s="506"/>
      <c r="J780" s="502"/>
      <c r="K780" s="489"/>
      <c r="L780" s="690"/>
      <c r="M780" s="489"/>
      <c r="N780" s="690"/>
      <c r="O780" s="489"/>
      <c r="P780" s="690"/>
      <c r="Q780" s="489"/>
      <c r="R780" s="690"/>
      <c r="S780" s="489"/>
      <c r="T780" s="690"/>
      <c r="U780" s="489"/>
      <c r="V780" s="690"/>
      <c r="W780" s="691"/>
      <c r="X780" s="491"/>
      <c r="Y780" s="485" t="s">
        <v>1442</v>
      </c>
    </row>
    <row r="781" spans="2:25" ht="60.75" customHeight="1" thickBot="1" x14ac:dyDescent="0.3">
      <c r="B781" s="1981" t="s">
        <v>120</v>
      </c>
      <c r="C781" s="1946" t="s">
        <v>34</v>
      </c>
      <c r="D781" s="1946" t="s">
        <v>3831</v>
      </c>
      <c r="E781" s="1795" t="s">
        <v>3992</v>
      </c>
      <c r="F781" s="1946" t="s">
        <v>3913</v>
      </c>
      <c r="G781" s="38" t="s">
        <v>3133</v>
      </c>
      <c r="H781" s="480" t="s">
        <v>35</v>
      </c>
      <c r="I781" s="516" t="s">
        <v>19</v>
      </c>
      <c r="J781" s="498">
        <v>90</v>
      </c>
      <c r="K781" s="499">
        <v>91</v>
      </c>
      <c r="L781" s="517"/>
      <c r="M781" s="499">
        <v>92</v>
      </c>
      <c r="N781" s="517"/>
      <c r="O781" s="499">
        <v>93</v>
      </c>
      <c r="P781" s="517"/>
      <c r="Q781" s="499">
        <v>94</v>
      </c>
      <c r="R781" s="517"/>
      <c r="S781" s="499">
        <v>95</v>
      </c>
      <c r="T781" s="517"/>
      <c r="U781" s="499">
        <v>96</v>
      </c>
      <c r="V781" s="517"/>
      <c r="W781" s="518">
        <v>96</v>
      </c>
      <c r="X781" s="485"/>
      <c r="Y781" s="485" t="s">
        <v>1442</v>
      </c>
    </row>
    <row r="782" spans="2:25" ht="60.75" thickTop="1" x14ac:dyDescent="0.25">
      <c r="B782" s="1982"/>
      <c r="C782" s="1947"/>
      <c r="D782" s="1947"/>
      <c r="E782" s="1796"/>
      <c r="F782" s="1947"/>
      <c r="G782" s="503" t="s">
        <v>1491</v>
      </c>
      <c r="H782" s="503" t="s">
        <v>1492</v>
      </c>
      <c r="I782" s="516" t="s">
        <v>19</v>
      </c>
      <c r="J782" s="520">
        <v>100</v>
      </c>
      <c r="K782" s="521">
        <v>20</v>
      </c>
      <c r="L782" s="521">
        <f>SUM(L783:L796)</f>
        <v>1513400</v>
      </c>
      <c r="M782" s="521">
        <v>20</v>
      </c>
      <c r="N782" s="521">
        <f>SUM(N783:N796)</f>
        <v>1682500</v>
      </c>
      <c r="O782" s="521">
        <v>15</v>
      </c>
      <c r="P782" s="521">
        <f>SUM(P783:P796)</f>
        <v>1866250</v>
      </c>
      <c r="Q782" s="521">
        <v>15</v>
      </c>
      <c r="R782" s="521">
        <f>SUM(R783:R796)</f>
        <v>2099000</v>
      </c>
      <c r="S782" s="521">
        <v>15</v>
      </c>
      <c r="T782" s="521">
        <f>SUM(T783:T796)</f>
        <v>2328500</v>
      </c>
      <c r="U782" s="521">
        <v>15</v>
      </c>
      <c r="V782" s="521">
        <f>SUM(V783:V796)</f>
        <v>2328500</v>
      </c>
      <c r="W782" s="521">
        <v>100</v>
      </c>
      <c r="X782" s="522"/>
      <c r="Y782" s="485" t="s">
        <v>1442</v>
      </c>
    </row>
    <row r="783" spans="2:25" ht="51" x14ac:dyDescent="0.25">
      <c r="B783" s="1982"/>
      <c r="C783" s="492"/>
      <c r="D783" s="492"/>
      <c r="E783" s="492"/>
      <c r="F783" s="492"/>
      <c r="G783" s="487" t="s">
        <v>124</v>
      </c>
      <c r="H783" s="487" t="s">
        <v>3031</v>
      </c>
      <c r="I783" s="488" t="s">
        <v>40</v>
      </c>
      <c r="J783" s="502"/>
      <c r="K783" s="489">
        <v>12</v>
      </c>
      <c r="L783" s="489">
        <v>5000</v>
      </c>
      <c r="M783" s="489">
        <v>12</v>
      </c>
      <c r="N783" s="489">
        <v>5500</v>
      </c>
      <c r="O783" s="489">
        <v>12</v>
      </c>
      <c r="P783" s="489">
        <v>6000</v>
      </c>
      <c r="Q783" s="489">
        <v>12</v>
      </c>
      <c r="R783" s="489">
        <v>6750</v>
      </c>
      <c r="S783" s="489">
        <v>12</v>
      </c>
      <c r="T783" s="489">
        <v>7500</v>
      </c>
      <c r="U783" s="489">
        <v>12</v>
      </c>
      <c r="V783" s="489">
        <v>7500</v>
      </c>
      <c r="W783" s="489"/>
      <c r="X783" s="509"/>
      <c r="Y783" s="485" t="s">
        <v>1442</v>
      </c>
    </row>
    <row r="784" spans="2:25" ht="63.75" x14ac:dyDescent="0.25">
      <c r="B784" s="1982"/>
      <c r="C784" s="492"/>
      <c r="D784" s="492"/>
      <c r="E784" s="492"/>
      <c r="F784" s="492"/>
      <c r="G784" s="487" t="s">
        <v>2184</v>
      </c>
      <c r="H784" s="487" t="s">
        <v>3032</v>
      </c>
      <c r="I784" s="488" t="s">
        <v>40</v>
      </c>
      <c r="J784" s="502"/>
      <c r="K784" s="489">
        <v>12</v>
      </c>
      <c r="L784" s="489">
        <v>420000</v>
      </c>
      <c r="M784" s="489">
        <v>12</v>
      </c>
      <c r="N784" s="489">
        <v>465000</v>
      </c>
      <c r="O784" s="489">
        <v>12</v>
      </c>
      <c r="P784" s="489">
        <v>510000</v>
      </c>
      <c r="Q784" s="489">
        <v>12</v>
      </c>
      <c r="R784" s="489">
        <v>600000</v>
      </c>
      <c r="S784" s="489">
        <v>12</v>
      </c>
      <c r="T784" s="489">
        <v>660000</v>
      </c>
      <c r="U784" s="489">
        <v>12</v>
      </c>
      <c r="V784" s="489">
        <v>660000</v>
      </c>
      <c r="W784" s="489"/>
      <c r="X784" s="509"/>
      <c r="Y784" s="485" t="s">
        <v>1442</v>
      </c>
    </row>
    <row r="785" spans="2:25" ht="63.75" x14ac:dyDescent="0.25">
      <c r="B785" s="1982"/>
      <c r="C785" s="492"/>
      <c r="D785" s="492"/>
      <c r="E785" s="492"/>
      <c r="F785" s="492"/>
      <c r="G785" s="487" t="s">
        <v>3033</v>
      </c>
      <c r="H785" s="487" t="s">
        <v>3034</v>
      </c>
      <c r="I785" s="488" t="s">
        <v>40</v>
      </c>
      <c r="J785" s="502"/>
      <c r="K785" s="489">
        <v>12</v>
      </c>
      <c r="L785" s="489">
        <v>93500</v>
      </c>
      <c r="M785" s="489">
        <v>12</v>
      </c>
      <c r="N785" s="489">
        <v>105000</v>
      </c>
      <c r="O785" s="489">
        <v>12</v>
      </c>
      <c r="P785" s="489">
        <v>120000</v>
      </c>
      <c r="Q785" s="489">
        <v>12</v>
      </c>
      <c r="R785" s="489">
        <v>130000</v>
      </c>
      <c r="S785" s="489">
        <v>12</v>
      </c>
      <c r="T785" s="489">
        <v>145000</v>
      </c>
      <c r="U785" s="489">
        <v>12</v>
      </c>
      <c r="V785" s="489">
        <v>145000</v>
      </c>
      <c r="W785" s="489"/>
      <c r="X785" s="509"/>
      <c r="Y785" s="485" t="s">
        <v>1442</v>
      </c>
    </row>
    <row r="786" spans="2:25" ht="38.25" x14ac:dyDescent="0.25">
      <c r="B786" s="1982"/>
      <c r="C786" s="492"/>
      <c r="D786" s="492"/>
      <c r="E786" s="492"/>
      <c r="F786" s="492"/>
      <c r="G786" s="487" t="s">
        <v>45</v>
      </c>
      <c r="H786" s="487" t="s">
        <v>3035</v>
      </c>
      <c r="I786" s="488" t="s">
        <v>40</v>
      </c>
      <c r="J786" s="502"/>
      <c r="K786" s="489">
        <v>12</v>
      </c>
      <c r="L786" s="489">
        <v>92000</v>
      </c>
      <c r="M786" s="489">
        <v>12</v>
      </c>
      <c r="N786" s="489">
        <v>100000</v>
      </c>
      <c r="O786" s="489">
        <v>12</v>
      </c>
      <c r="P786" s="489">
        <v>110000</v>
      </c>
      <c r="Q786" s="489">
        <v>12</v>
      </c>
      <c r="R786" s="489">
        <v>120000</v>
      </c>
      <c r="S786" s="489">
        <v>12</v>
      </c>
      <c r="T786" s="489">
        <v>130000</v>
      </c>
      <c r="U786" s="489">
        <v>12</v>
      </c>
      <c r="V786" s="489">
        <v>130000</v>
      </c>
      <c r="W786" s="489"/>
      <c r="X786" s="509"/>
      <c r="Y786" s="485" t="s">
        <v>1442</v>
      </c>
    </row>
    <row r="787" spans="2:25" ht="38.25" x14ac:dyDescent="0.25">
      <c r="B787" s="1982"/>
      <c r="C787" s="492"/>
      <c r="D787" s="492"/>
      <c r="E787" s="492"/>
      <c r="F787" s="492"/>
      <c r="G787" s="487" t="s">
        <v>47</v>
      </c>
      <c r="H787" s="487" t="s">
        <v>3036</v>
      </c>
      <c r="I787" s="488" t="s">
        <v>40</v>
      </c>
      <c r="J787" s="502"/>
      <c r="K787" s="489">
        <v>12</v>
      </c>
      <c r="L787" s="489">
        <v>7000</v>
      </c>
      <c r="M787" s="489">
        <v>12</v>
      </c>
      <c r="N787" s="489">
        <v>8000</v>
      </c>
      <c r="O787" s="489">
        <v>12</v>
      </c>
      <c r="P787" s="489">
        <v>9000</v>
      </c>
      <c r="Q787" s="489">
        <v>12</v>
      </c>
      <c r="R787" s="489">
        <v>10000</v>
      </c>
      <c r="S787" s="489">
        <v>12</v>
      </c>
      <c r="T787" s="489">
        <v>11000</v>
      </c>
      <c r="U787" s="489">
        <v>12</v>
      </c>
      <c r="V787" s="489">
        <v>11000</v>
      </c>
      <c r="W787" s="489"/>
      <c r="X787" s="509"/>
      <c r="Y787" s="485" t="s">
        <v>1442</v>
      </c>
    </row>
    <row r="788" spans="2:25" ht="51" x14ac:dyDescent="0.25">
      <c r="B788" s="1982"/>
      <c r="C788" s="492"/>
      <c r="D788" s="492"/>
      <c r="E788" s="492"/>
      <c r="F788" s="492"/>
      <c r="G788" s="487" t="s">
        <v>130</v>
      </c>
      <c r="H788" s="487" t="s">
        <v>3037</v>
      </c>
      <c r="I788" s="488" t="s">
        <v>40</v>
      </c>
      <c r="J788" s="502"/>
      <c r="K788" s="489">
        <v>12</v>
      </c>
      <c r="L788" s="489">
        <v>25000</v>
      </c>
      <c r="M788" s="489">
        <v>12</v>
      </c>
      <c r="N788" s="489">
        <v>27500</v>
      </c>
      <c r="O788" s="489">
        <v>12</v>
      </c>
      <c r="P788" s="489">
        <v>30000</v>
      </c>
      <c r="Q788" s="489">
        <v>12</v>
      </c>
      <c r="R788" s="489">
        <v>35000</v>
      </c>
      <c r="S788" s="489">
        <v>12</v>
      </c>
      <c r="T788" s="489">
        <v>40000</v>
      </c>
      <c r="U788" s="489">
        <v>12</v>
      </c>
      <c r="V788" s="489">
        <v>40000</v>
      </c>
      <c r="W788" s="489"/>
      <c r="X788" s="509"/>
      <c r="Y788" s="485" t="s">
        <v>1442</v>
      </c>
    </row>
    <row r="789" spans="2:25" ht="51" x14ac:dyDescent="0.25">
      <c r="B789" s="1982"/>
      <c r="C789" s="492"/>
      <c r="D789" s="492"/>
      <c r="E789" s="492"/>
      <c r="F789" s="492"/>
      <c r="G789" s="487" t="s">
        <v>3038</v>
      </c>
      <c r="H789" s="487" t="s">
        <v>3039</v>
      </c>
      <c r="I789" s="488" t="s">
        <v>40</v>
      </c>
      <c r="J789" s="502"/>
      <c r="K789" s="489">
        <v>12</v>
      </c>
      <c r="L789" s="489">
        <v>40000</v>
      </c>
      <c r="M789" s="489">
        <v>12</v>
      </c>
      <c r="N789" s="489">
        <v>45000</v>
      </c>
      <c r="O789" s="489">
        <v>12</v>
      </c>
      <c r="P789" s="489">
        <v>50000</v>
      </c>
      <c r="Q789" s="489">
        <v>12</v>
      </c>
      <c r="R789" s="489">
        <v>55000</v>
      </c>
      <c r="S789" s="489">
        <v>12</v>
      </c>
      <c r="T789" s="489">
        <v>60000</v>
      </c>
      <c r="U789" s="489">
        <v>12</v>
      </c>
      <c r="V789" s="489">
        <v>60000</v>
      </c>
      <c r="W789" s="489"/>
      <c r="X789" s="509"/>
      <c r="Y789" s="485" t="s">
        <v>1442</v>
      </c>
    </row>
    <row r="790" spans="2:25" ht="51" x14ac:dyDescent="0.25">
      <c r="B790" s="1982"/>
      <c r="C790" s="492"/>
      <c r="D790" s="492"/>
      <c r="E790" s="492"/>
      <c r="F790" s="492"/>
      <c r="G790" s="487" t="s">
        <v>52</v>
      </c>
      <c r="H790" s="487" t="s">
        <v>463</v>
      </c>
      <c r="I790" s="488" t="s">
        <v>40</v>
      </c>
      <c r="J790" s="502"/>
      <c r="K790" s="489">
        <v>12</v>
      </c>
      <c r="L790" s="489">
        <v>300000</v>
      </c>
      <c r="M790" s="489">
        <v>12</v>
      </c>
      <c r="N790" s="489">
        <v>330000</v>
      </c>
      <c r="O790" s="489">
        <v>12</v>
      </c>
      <c r="P790" s="489">
        <v>365000</v>
      </c>
      <c r="Q790" s="489">
        <v>12</v>
      </c>
      <c r="R790" s="489">
        <v>400000</v>
      </c>
      <c r="S790" s="489">
        <v>12</v>
      </c>
      <c r="T790" s="489">
        <v>450000</v>
      </c>
      <c r="U790" s="489">
        <v>12</v>
      </c>
      <c r="V790" s="489">
        <v>450000</v>
      </c>
      <c r="W790" s="489"/>
      <c r="X790" s="509"/>
      <c r="Y790" s="485" t="s">
        <v>1442</v>
      </c>
    </row>
    <row r="791" spans="2:25" ht="38.25" x14ac:dyDescent="0.25">
      <c r="B791" s="1982"/>
      <c r="C791" s="492"/>
      <c r="D791" s="492"/>
      <c r="E791" s="492"/>
      <c r="F791" s="492"/>
      <c r="G791" s="487" t="s">
        <v>54</v>
      </c>
      <c r="H791" s="487" t="s">
        <v>3040</v>
      </c>
      <c r="I791" s="488" t="s">
        <v>40</v>
      </c>
      <c r="J791" s="502"/>
      <c r="K791" s="489">
        <v>12</v>
      </c>
      <c r="L791" s="489">
        <v>25000</v>
      </c>
      <c r="M791" s="489">
        <v>12</v>
      </c>
      <c r="N791" s="489">
        <v>27500</v>
      </c>
      <c r="O791" s="489">
        <v>12</v>
      </c>
      <c r="P791" s="489">
        <v>30000</v>
      </c>
      <c r="Q791" s="489">
        <v>12</v>
      </c>
      <c r="R791" s="489">
        <v>35000</v>
      </c>
      <c r="S791" s="489">
        <v>12</v>
      </c>
      <c r="T791" s="489">
        <v>40000</v>
      </c>
      <c r="U791" s="489">
        <v>12</v>
      </c>
      <c r="V791" s="489">
        <v>40000</v>
      </c>
      <c r="W791" s="489"/>
      <c r="X791" s="509"/>
      <c r="Y791" s="485" t="s">
        <v>1442</v>
      </c>
    </row>
    <row r="792" spans="2:25" ht="25.5" x14ac:dyDescent="0.25">
      <c r="B792" s="1982"/>
      <c r="C792" s="492"/>
      <c r="D792" s="492"/>
      <c r="E792" s="492"/>
      <c r="F792" s="492"/>
      <c r="G792" s="487" t="s">
        <v>56</v>
      </c>
      <c r="H792" s="487" t="s">
        <v>3041</v>
      </c>
      <c r="I792" s="488" t="s">
        <v>40</v>
      </c>
      <c r="J792" s="502"/>
      <c r="K792" s="489">
        <v>12</v>
      </c>
      <c r="L792" s="489">
        <v>5000</v>
      </c>
      <c r="M792" s="489">
        <v>12</v>
      </c>
      <c r="N792" s="489">
        <v>5500</v>
      </c>
      <c r="O792" s="489">
        <v>12</v>
      </c>
      <c r="P792" s="489">
        <v>6000</v>
      </c>
      <c r="Q792" s="489">
        <v>12</v>
      </c>
      <c r="R792" s="489">
        <v>6750</v>
      </c>
      <c r="S792" s="489">
        <v>12</v>
      </c>
      <c r="T792" s="489">
        <v>7500</v>
      </c>
      <c r="U792" s="489">
        <v>12</v>
      </c>
      <c r="V792" s="489">
        <v>7500</v>
      </c>
      <c r="W792" s="489"/>
      <c r="X792" s="509"/>
      <c r="Y792" s="485" t="s">
        <v>1442</v>
      </c>
    </row>
    <row r="793" spans="2:25" ht="76.5" x14ac:dyDescent="0.25">
      <c r="B793" s="1982"/>
      <c r="C793" s="492"/>
      <c r="D793" s="492"/>
      <c r="E793" s="492"/>
      <c r="F793" s="492"/>
      <c r="G793" s="487" t="s">
        <v>58</v>
      </c>
      <c r="H793" s="487" t="s">
        <v>3042</v>
      </c>
      <c r="I793" s="488" t="s">
        <v>40</v>
      </c>
      <c r="J793" s="502"/>
      <c r="K793" s="489">
        <v>12</v>
      </c>
      <c r="L793" s="489">
        <v>30000</v>
      </c>
      <c r="M793" s="489">
        <v>12</v>
      </c>
      <c r="N793" s="489">
        <v>33000</v>
      </c>
      <c r="O793" s="489">
        <v>12</v>
      </c>
      <c r="P793" s="489">
        <v>36500</v>
      </c>
      <c r="Q793" s="489">
        <v>12</v>
      </c>
      <c r="R793" s="489">
        <v>40000</v>
      </c>
      <c r="S793" s="489">
        <v>12</v>
      </c>
      <c r="T793" s="489">
        <v>45000</v>
      </c>
      <c r="U793" s="489">
        <v>12</v>
      </c>
      <c r="V793" s="489">
        <v>45000</v>
      </c>
      <c r="W793" s="489"/>
      <c r="X793" s="509"/>
      <c r="Y793" s="485" t="s">
        <v>1442</v>
      </c>
    </row>
    <row r="794" spans="2:25" ht="76.5" x14ac:dyDescent="0.25">
      <c r="B794" s="1982"/>
      <c r="C794" s="492"/>
      <c r="D794" s="492"/>
      <c r="E794" s="492"/>
      <c r="F794" s="492"/>
      <c r="G794" s="487" t="s">
        <v>3043</v>
      </c>
      <c r="H794" s="487" t="s">
        <v>3044</v>
      </c>
      <c r="I794" s="488" t="s">
        <v>40</v>
      </c>
      <c r="J794" s="502"/>
      <c r="K794" s="489">
        <v>12</v>
      </c>
      <c r="L794" s="489">
        <v>125000</v>
      </c>
      <c r="M794" s="489">
        <v>12</v>
      </c>
      <c r="N794" s="489">
        <v>150000</v>
      </c>
      <c r="O794" s="489">
        <v>12</v>
      </c>
      <c r="P794" s="489">
        <v>175000</v>
      </c>
      <c r="Q794" s="489">
        <v>12</v>
      </c>
      <c r="R794" s="489">
        <v>200000</v>
      </c>
      <c r="S794" s="489">
        <v>12</v>
      </c>
      <c r="T794" s="489">
        <v>225000</v>
      </c>
      <c r="U794" s="489">
        <v>12</v>
      </c>
      <c r="V794" s="489">
        <v>225000</v>
      </c>
      <c r="W794" s="489"/>
      <c r="X794" s="509"/>
      <c r="Y794" s="485" t="s">
        <v>1442</v>
      </c>
    </row>
    <row r="795" spans="2:25" ht="38.25" x14ac:dyDescent="0.25">
      <c r="B795" s="1982"/>
      <c r="C795" s="492"/>
      <c r="D795" s="492"/>
      <c r="E795" s="492"/>
      <c r="F795" s="492"/>
      <c r="G795" s="479" t="s">
        <v>3045</v>
      </c>
      <c r="H795" s="487" t="s">
        <v>3046</v>
      </c>
      <c r="I795" s="488" t="s">
        <v>40</v>
      </c>
      <c r="J795" s="502"/>
      <c r="K795" s="489">
        <v>12</v>
      </c>
      <c r="L795" s="489">
        <v>315900</v>
      </c>
      <c r="M795" s="489">
        <v>12</v>
      </c>
      <c r="N795" s="489">
        <v>347500</v>
      </c>
      <c r="O795" s="489">
        <v>12</v>
      </c>
      <c r="P795" s="489">
        <v>382250</v>
      </c>
      <c r="Q795" s="489">
        <v>12</v>
      </c>
      <c r="R795" s="489">
        <v>420500</v>
      </c>
      <c r="S795" s="489">
        <v>12</v>
      </c>
      <c r="T795" s="489">
        <v>462500</v>
      </c>
      <c r="U795" s="489">
        <v>12</v>
      </c>
      <c r="V795" s="489">
        <v>462500</v>
      </c>
      <c r="W795" s="489"/>
      <c r="X795" s="509"/>
      <c r="Y795" s="485" t="s">
        <v>1442</v>
      </c>
    </row>
    <row r="796" spans="2:25" ht="63.75" x14ac:dyDescent="0.25">
      <c r="B796" s="1982"/>
      <c r="C796" s="492"/>
      <c r="D796" s="492"/>
      <c r="E796" s="492"/>
      <c r="F796" s="492"/>
      <c r="G796" s="487" t="s">
        <v>399</v>
      </c>
      <c r="H796" s="487" t="s">
        <v>3047</v>
      </c>
      <c r="I796" s="488" t="s">
        <v>40</v>
      </c>
      <c r="J796" s="502"/>
      <c r="K796" s="489">
        <v>12</v>
      </c>
      <c r="L796" s="489">
        <v>30000</v>
      </c>
      <c r="M796" s="489">
        <v>12</v>
      </c>
      <c r="N796" s="489">
        <v>33000</v>
      </c>
      <c r="O796" s="489">
        <v>12</v>
      </c>
      <c r="P796" s="489">
        <v>36500</v>
      </c>
      <c r="Q796" s="489">
        <v>12</v>
      </c>
      <c r="R796" s="489">
        <v>40000</v>
      </c>
      <c r="S796" s="489">
        <v>12</v>
      </c>
      <c r="T796" s="489">
        <v>45000</v>
      </c>
      <c r="U796" s="489">
        <v>12</v>
      </c>
      <c r="V796" s="489">
        <v>45000</v>
      </c>
      <c r="W796" s="489"/>
      <c r="X796" s="509"/>
      <c r="Y796" s="485" t="s">
        <v>1442</v>
      </c>
    </row>
    <row r="797" spans="2:25" ht="72" x14ac:dyDescent="0.25">
      <c r="B797" s="1982"/>
      <c r="C797" s="492"/>
      <c r="D797" s="492"/>
      <c r="E797" s="492"/>
      <c r="F797" s="505"/>
      <c r="G797" s="480" t="s">
        <v>471</v>
      </c>
      <c r="H797" s="480" t="s">
        <v>1499</v>
      </c>
      <c r="I797" s="481" t="s">
        <v>19</v>
      </c>
      <c r="J797" s="482">
        <v>100</v>
      </c>
      <c r="K797" s="483">
        <v>20</v>
      </c>
      <c r="L797" s="483">
        <f>SUM(L798:L805)</f>
        <v>6254450</v>
      </c>
      <c r="M797" s="483">
        <v>20</v>
      </c>
      <c r="N797" s="483">
        <f>SUM(N798:N805)</f>
        <v>355000</v>
      </c>
      <c r="O797" s="483">
        <v>15</v>
      </c>
      <c r="P797" s="483">
        <f>SUM(P798:P805)</f>
        <v>405000</v>
      </c>
      <c r="Q797" s="483">
        <v>15</v>
      </c>
      <c r="R797" s="483">
        <f>SUM(R798:R805)</f>
        <v>475000</v>
      </c>
      <c r="S797" s="483">
        <v>15</v>
      </c>
      <c r="T797" s="483">
        <f>SUM(T798:T805)</f>
        <v>525000</v>
      </c>
      <c r="U797" s="483">
        <v>15</v>
      </c>
      <c r="V797" s="483">
        <f>SUM(V798:V805)</f>
        <v>525000</v>
      </c>
      <c r="W797" s="483">
        <v>100</v>
      </c>
      <c r="X797" s="523"/>
      <c r="Y797" s="485" t="s">
        <v>1442</v>
      </c>
    </row>
    <row r="798" spans="2:25" ht="51" x14ac:dyDescent="0.25">
      <c r="B798" s="1982"/>
      <c r="C798" s="492"/>
      <c r="D798" s="492"/>
      <c r="E798" s="492"/>
      <c r="F798" s="492"/>
      <c r="G798" s="487" t="s">
        <v>950</v>
      </c>
      <c r="H798" s="487" t="s">
        <v>3048</v>
      </c>
      <c r="I798" s="488" t="s">
        <v>75</v>
      </c>
      <c r="J798" s="502"/>
      <c r="K798" s="489">
        <v>3</v>
      </c>
      <c r="L798" s="489">
        <v>52500</v>
      </c>
      <c r="M798" s="489"/>
      <c r="N798" s="489">
        <v>0</v>
      </c>
      <c r="O798" s="489"/>
      <c r="P798" s="489">
        <v>0</v>
      </c>
      <c r="Q798" s="489"/>
      <c r="R798" s="489">
        <v>0</v>
      </c>
      <c r="S798" s="489"/>
      <c r="T798" s="489">
        <v>0</v>
      </c>
      <c r="U798" s="489"/>
      <c r="V798" s="489">
        <v>0</v>
      </c>
      <c r="W798" s="489"/>
      <c r="X798" s="509"/>
      <c r="Y798" s="485" t="s">
        <v>1442</v>
      </c>
    </row>
    <row r="799" spans="2:25" ht="63.75" x14ac:dyDescent="0.25">
      <c r="B799" s="1982"/>
      <c r="C799" s="492"/>
      <c r="D799" s="492"/>
      <c r="E799" s="492"/>
      <c r="F799" s="492"/>
      <c r="G799" s="479" t="s">
        <v>3049</v>
      </c>
      <c r="H799" s="487" t="s">
        <v>3050</v>
      </c>
      <c r="I799" s="488" t="s">
        <v>1413</v>
      </c>
      <c r="J799" s="502"/>
      <c r="K799" s="489">
        <v>1</v>
      </c>
      <c r="L799" s="489">
        <v>5500000</v>
      </c>
      <c r="M799" s="489"/>
      <c r="N799" s="489">
        <v>0</v>
      </c>
      <c r="O799" s="489"/>
      <c r="P799" s="489">
        <v>0</v>
      </c>
      <c r="Q799" s="489"/>
      <c r="R799" s="489">
        <v>0</v>
      </c>
      <c r="S799" s="489"/>
      <c r="T799" s="489">
        <v>0</v>
      </c>
      <c r="U799" s="489"/>
      <c r="V799" s="489">
        <v>0</v>
      </c>
      <c r="W799" s="489"/>
      <c r="X799" s="509"/>
      <c r="Y799" s="485" t="s">
        <v>1442</v>
      </c>
    </row>
    <row r="800" spans="2:25" ht="38.25" x14ac:dyDescent="0.25">
      <c r="B800" s="1982"/>
      <c r="C800" s="492"/>
      <c r="D800" s="492"/>
      <c r="E800" s="492"/>
      <c r="F800" s="492"/>
      <c r="G800" s="487" t="s">
        <v>164</v>
      </c>
      <c r="H800" s="487" t="s">
        <v>953</v>
      </c>
      <c r="I800" s="488" t="s">
        <v>75</v>
      </c>
      <c r="J800" s="502"/>
      <c r="K800" s="489">
        <v>1</v>
      </c>
      <c r="L800" s="489">
        <v>25000</v>
      </c>
      <c r="M800" s="489">
        <v>1</v>
      </c>
      <c r="N800" s="489">
        <v>25000</v>
      </c>
      <c r="O800" s="489">
        <v>1</v>
      </c>
      <c r="P800" s="489">
        <v>25000</v>
      </c>
      <c r="Q800" s="489">
        <v>1</v>
      </c>
      <c r="R800" s="489">
        <v>25000</v>
      </c>
      <c r="S800" s="489">
        <v>1</v>
      </c>
      <c r="T800" s="489">
        <v>25000</v>
      </c>
      <c r="U800" s="489">
        <v>1</v>
      </c>
      <c r="V800" s="489">
        <v>25000</v>
      </c>
      <c r="W800" s="489"/>
      <c r="X800" s="509"/>
      <c r="Y800" s="485" t="s">
        <v>1442</v>
      </c>
    </row>
    <row r="801" spans="2:25" ht="63.75" x14ac:dyDescent="0.25">
      <c r="B801" s="1982"/>
      <c r="C801" s="492"/>
      <c r="D801" s="492"/>
      <c r="E801" s="492"/>
      <c r="F801" s="492"/>
      <c r="G801" s="479" t="s">
        <v>3051</v>
      </c>
      <c r="H801" s="487" t="s">
        <v>3052</v>
      </c>
      <c r="I801" s="488" t="s">
        <v>75</v>
      </c>
      <c r="J801" s="502"/>
      <c r="K801" s="489">
        <v>3</v>
      </c>
      <c r="L801" s="489">
        <v>26950</v>
      </c>
      <c r="M801" s="489"/>
      <c r="N801" s="489">
        <v>0</v>
      </c>
      <c r="O801" s="489"/>
      <c r="P801" s="489">
        <v>0</v>
      </c>
      <c r="Q801" s="489"/>
      <c r="R801" s="489">
        <v>0</v>
      </c>
      <c r="S801" s="489"/>
      <c r="T801" s="489">
        <v>0</v>
      </c>
      <c r="U801" s="489"/>
      <c r="V801" s="489">
        <v>0</v>
      </c>
      <c r="W801" s="489"/>
      <c r="X801" s="509"/>
      <c r="Y801" s="485" t="s">
        <v>1442</v>
      </c>
    </row>
    <row r="802" spans="2:25" ht="102" x14ac:dyDescent="0.25">
      <c r="B802" s="1982"/>
      <c r="C802" s="492"/>
      <c r="D802" s="492"/>
      <c r="E802" s="492"/>
      <c r="F802" s="492"/>
      <c r="G802" s="487" t="s">
        <v>149</v>
      </c>
      <c r="H802" s="487" t="s">
        <v>3053</v>
      </c>
      <c r="I802" s="488" t="s">
        <v>75</v>
      </c>
      <c r="J802" s="502"/>
      <c r="K802" s="489">
        <v>6</v>
      </c>
      <c r="L802" s="489">
        <v>200000</v>
      </c>
      <c r="M802" s="489"/>
      <c r="N802" s="489">
        <v>0</v>
      </c>
      <c r="O802" s="489"/>
      <c r="P802" s="489">
        <v>0</v>
      </c>
      <c r="Q802" s="489"/>
      <c r="R802" s="489">
        <v>0</v>
      </c>
      <c r="S802" s="489"/>
      <c r="T802" s="489">
        <v>0</v>
      </c>
      <c r="U802" s="489"/>
      <c r="V802" s="489">
        <v>0</v>
      </c>
      <c r="W802" s="489"/>
      <c r="X802" s="509"/>
      <c r="Y802" s="485" t="s">
        <v>1442</v>
      </c>
    </row>
    <row r="803" spans="2:25" ht="127.5" x14ac:dyDescent="0.25">
      <c r="B803" s="1982"/>
      <c r="C803" s="492"/>
      <c r="D803" s="492"/>
      <c r="E803" s="492"/>
      <c r="F803" s="492"/>
      <c r="G803" s="479" t="s">
        <v>2533</v>
      </c>
      <c r="H803" s="487" t="s">
        <v>3054</v>
      </c>
      <c r="I803" s="488" t="s">
        <v>75</v>
      </c>
      <c r="J803" s="502"/>
      <c r="K803" s="489">
        <v>42</v>
      </c>
      <c r="L803" s="524">
        <v>190000</v>
      </c>
      <c r="M803" s="489"/>
      <c r="N803" s="489">
        <v>0</v>
      </c>
      <c r="O803" s="489"/>
      <c r="P803" s="489">
        <v>0</v>
      </c>
      <c r="Q803" s="489"/>
      <c r="R803" s="489">
        <v>0</v>
      </c>
      <c r="S803" s="489"/>
      <c r="T803" s="489">
        <v>0</v>
      </c>
      <c r="U803" s="489"/>
      <c r="V803" s="489">
        <v>0</v>
      </c>
      <c r="W803" s="489"/>
      <c r="X803" s="509"/>
      <c r="Y803" s="485" t="s">
        <v>1442</v>
      </c>
    </row>
    <row r="804" spans="2:25" ht="89.25" x14ac:dyDescent="0.25">
      <c r="B804" s="1982"/>
      <c r="C804" s="492"/>
      <c r="D804" s="492"/>
      <c r="E804" s="492"/>
      <c r="F804" s="492"/>
      <c r="G804" s="486" t="s">
        <v>3055</v>
      </c>
      <c r="H804" s="487" t="s">
        <v>3056</v>
      </c>
      <c r="I804" s="488" t="s">
        <v>1413</v>
      </c>
      <c r="J804" s="502"/>
      <c r="K804" s="489">
        <v>4</v>
      </c>
      <c r="L804" s="489">
        <v>60000</v>
      </c>
      <c r="M804" s="489">
        <v>4</v>
      </c>
      <c r="N804" s="489">
        <v>70000</v>
      </c>
      <c r="O804" s="489">
        <v>4</v>
      </c>
      <c r="P804" s="489">
        <v>80000</v>
      </c>
      <c r="Q804" s="489">
        <v>4</v>
      </c>
      <c r="R804" s="489">
        <v>90000</v>
      </c>
      <c r="S804" s="489">
        <v>4</v>
      </c>
      <c r="T804" s="489">
        <v>100000</v>
      </c>
      <c r="U804" s="489">
        <v>4</v>
      </c>
      <c r="V804" s="489">
        <v>100000</v>
      </c>
      <c r="W804" s="489"/>
      <c r="X804" s="491"/>
      <c r="Y804" s="485" t="s">
        <v>1442</v>
      </c>
    </row>
    <row r="805" spans="2:25" ht="63.75" x14ac:dyDescent="0.25">
      <c r="B805" s="1982"/>
      <c r="C805" s="492"/>
      <c r="D805" s="492"/>
      <c r="E805" s="492"/>
      <c r="F805" s="492"/>
      <c r="G805" s="495"/>
      <c r="H805" s="487" t="s">
        <v>3030</v>
      </c>
      <c r="I805" s="488" t="s">
        <v>69</v>
      </c>
      <c r="J805" s="502"/>
      <c r="K805" s="489">
        <v>4</v>
      </c>
      <c r="L805" s="489">
        <v>200000</v>
      </c>
      <c r="M805" s="489">
        <v>4</v>
      </c>
      <c r="N805" s="489">
        <v>260000</v>
      </c>
      <c r="O805" s="489">
        <v>4</v>
      </c>
      <c r="P805" s="489">
        <v>300000</v>
      </c>
      <c r="Q805" s="489">
        <v>4</v>
      </c>
      <c r="R805" s="489">
        <v>360000</v>
      </c>
      <c r="S805" s="489">
        <v>4</v>
      </c>
      <c r="T805" s="489">
        <v>400000</v>
      </c>
      <c r="U805" s="489">
        <v>0</v>
      </c>
      <c r="V805" s="489">
        <v>400000</v>
      </c>
      <c r="W805" s="489"/>
      <c r="X805" s="491"/>
      <c r="Y805" s="485" t="s">
        <v>1442</v>
      </c>
    </row>
    <row r="806" spans="2:25" ht="84" x14ac:dyDescent="0.25">
      <c r="B806" s="1982"/>
      <c r="C806" s="492"/>
      <c r="D806" s="492"/>
      <c r="E806" s="492"/>
      <c r="F806" s="505"/>
      <c r="G806" s="480" t="s">
        <v>77</v>
      </c>
      <c r="H806" s="480" t="s">
        <v>1506</v>
      </c>
      <c r="I806" s="481" t="s">
        <v>79</v>
      </c>
      <c r="J806" s="483">
        <v>25</v>
      </c>
      <c r="K806" s="483">
        <v>6</v>
      </c>
      <c r="L806" s="483">
        <v>40000</v>
      </c>
      <c r="M806" s="483">
        <v>6</v>
      </c>
      <c r="N806" s="483">
        <v>50000</v>
      </c>
      <c r="O806" s="483">
        <v>6</v>
      </c>
      <c r="P806" s="483">
        <v>60000</v>
      </c>
      <c r="Q806" s="483">
        <v>6</v>
      </c>
      <c r="R806" s="483">
        <v>70000</v>
      </c>
      <c r="S806" s="483">
        <v>6</v>
      </c>
      <c r="T806" s="483">
        <v>80000</v>
      </c>
      <c r="U806" s="483">
        <v>6</v>
      </c>
      <c r="V806" s="483">
        <v>80000</v>
      </c>
      <c r="W806" s="483">
        <v>36</v>
      </c>
      <c r="X806" s="523"/>
      <c r="Y806" s="485" t="s">
        <v>1442</v>
      </c>
    </row>
    <row r="807" spans="2:25" ht="114.75" x14ac:dyDescent="0.25">
      <c r="B807" s="1982"/>
      <c r="C807" s="492"/>
      <c r="D807" s="492"/>
      <c r="E807" s="492"/>
      <c r="F807" s="492"/>
      <c r="G807" s="487" t="s">
        <v>3057</v>
      </c>
      <c r="H807" s="487" t="s">
        <v>3058</v>
      </c>
      <c r="I807" s="488" t="s">
        <v>79</v>
      </c>
      <c r="J807" s="502"/>
      <c r="K807" s="489">
        <v>6</v>
      </c>
      <c r="L807" s="489">
        <v>40000</v>
      </c>
      <c r="M807" s="489">
        <v>6</v>
      </c>
      <c r="N807" s="489">
        <v>50000</v>
      </c>
      <c r="O807" s="489">
        <v>6</v>
      </c>
      <c r="P807" s="489">
        <v>60000</v>
      </c>
      <c r="Q807" s="489">
        <v>6</v>
      </c>
      <c r="R807" s="489">
        <v>70000</v>
      </c>
      <c r="S807" s="489">
        <v>6</v>
      </c>
      <c r="T807" s="489">
        <v>80000</v>
      </c>
      <c r="U807" s="489">
        <v>6</v>
      </c>
      <c r="V807" s="489">
        <v>80000</v>
      </c>
      <c r="W807" s="489"/>
      <c r="X807" s="509"/>
      <c r="Y807" s="485" t="s">
        <v>1442</v>
      </c>
    </row>
    <row r="808" spans="2:25" ht="48" x14ac:dyDescent="0.25">
      <c r="B808" s="1982"/>
      <c r="C808" s="492"/>
      <c r="D808" s="492"/>
      <c r="E808" s="492"/>
      <c r="F808" s="505"/>
      <c r="G808" s="480" t="s">
        <v>167</v>
      </c>
      <c r="H808" s="480" t="s">
        <v>3180</v>
      </c>
      <c r="I808" s="481" t="s">
        <v>79</v>
      </c>
      <c r="J808" s="483">
        <v>0</v>
      </c>
      <c r="K808" s="483">
        <v>1</v>
      </c>
      <c r="L808" s="483">
        <v>10000</v>
      </c>
      <c r="M808" s="483">
        <v>1</v>
      </c>
      <c r="N808" s="483">
        <v>15000</v>
      </c>
      <c r="O808" s="483">
        <v>1</v>
      </c>
      <c r="P808" s="483">
        <v>20000</v>
      </c>
      <c r="Q808" s="483">
        <v>1</v>
      </c>
      <c r="R808" s="483">
        <v>25000</v>
      </c>
      <c r="S808" s="483">
        <v>1</v>
      </c>
      <c r="T808" s="483">
        <v>50000</v>
      </c>
      <c r="U808" s="483">
        <v>1</v>
      </c>
      <c r="V808" s="483">
        <v>50000</v>
      </c>
      <c r="W808" s="483">
        <v>6</v>
      </c>
      <c r="X808" s="523"/>
      <c r="Y808" s="485" t="s">
        <v>1442</v>
      </c>
    </row>
    <row r="809" spans="2:25" ht="63.75" x14ac:dyDescent="0.25">
      <c r="B809" s="1983"/>
      <c r="C809" s="495"/>
      <c r="D809" s="492"/>
      <c r="E809" s="492"/>
      <c r="F809" s="492"/>
      <c r="G809" s="487" t="s">
        <v>169</v>
      </c>
      <c r="H809" s="487" t="s">
        <v>3059</v>
      </c>
      <c r="I809" s="488" t="s">
        <v>79</v>
      </c>
      <c r="J809" s="502"/>
      <c r="K809" s="489">
        <v>1</v>
      </c>
      <c r="L809" s="489">
        <v>10000</v>
      </c>
      <c r="M809" s="489">
        <v>1</v>
      </c>
      <c r="N809" s="489">
        <v>15000</v>
      </c>
      <c r="O809" s="489">
        <v>1</v>
      </c>
      <c r="P809" s="489">
        <v>20000</v>
      </c>
      <c r="Q809" s="489">
        <v>1</v>
      </c>
      <c r="R809" s="489">
        <v>25000</v>
      </c>
      <c r="S809" s="489">
        <v>1</v>
      </c>
      <c r="T809" s="489">
        <v>50000</v>
      </c>
      <c r="U809" s="489">
        <v>1</v>
      </c>
      <c r="V809" s="489">
        <v>50000</v>
      </c>
      <c r="W809" s="489"/>
      <c r="X809" s="509"/>
      <c r="Y809" s="485" t="s">
        <v>1442</v>
      </c>
    </row>
    <row r="810" spans="2:25" ht="72" x14ac:dyDescent="0.25">
      <c r="B810" s="519"/>
      <c r="C810" s="512"/>
      <c r="D810" s="492"/>
      <c r="E810" s="492"/>
      <c r="F810" s="492"/>
      <c r="G810" s="480" t="s">
        <v>688</v>
      </c>
      <c r="H810" s="480" t="s">
        <v>1459</v>
      </c>
      <c r="I810" s="513" t="s">
        <v>19</v>
      </c>
      <c r="J810" s="650">
        <v>100</v>
      </c>
      <c r="K810" s="514">
        <v>100</v>
      </c>
      <c r="L810" s="500">
        <f>SUM(L811:L812)</f>
        <v>105000</v>
      </c>
      <c r="M810" s="514">
        <v>100</v>
      </c>
      <c r="N810" s="500">
        <f>SUM(N811:N812)</f>
        <v>375000</v>
      </c>
      <c r="O810" s="514">
        <v>100</v>
      </c>
      <c r="P810" s="500">
        <f>SUM(P811:P812)</f>
        <v>500000</v>
      </c>
      <c r="Q810" s="514">
        <v>100</v>
      </c>
      <c r="R810" s="500">
        <f>SUM(R811:R812)</f>
        <v>650000</v>
      </c>
      <c r="S810" s="514">
        <v>100</v>
      </c>
      <c r="T810" s="500">
        <f>SUM(T811:T812)</f>
        <v>800000</v>
      </c>
      <c r="U810" s="514">
        <v>100</v>
      </c>
      <c r="V810" s="500">
        <f>SUM(V811:V812)</f>
        <v>800000</v>
      </c>
      <c r="W810" s="515">
        <v>100</v>
      </c>
      <c r="X810" s="485"/>
      <c r="Y810" s="485" t="s">
        <v>1442</v>
      </c>
    </row>
    <row r="811" spans="2:25" ht="76.5" x14ac:dyDescent="0.25">
      <c r="B811" s="519"/>
      <c r="C811" s="512"/>
      <c r="D811" s="492"/>
      <c r="E811" s="492"/>
      <c r="F811" s="492"/>
      <c r="G811" s="487" t="s">
        <v>3019</v>
      </c>
      <c r="H811" s="487" t="s">
        <v>3020</v>
      </c>
      <c r="I811" s="488" t="s">
        <v>103</v>
      </c>
      <c r="J811" s="502"/>
      <c r="K811" s="489">
        <v>37</v>
      </c>
      <c r="L811" s="489">
        <v>105000</v>
      </c>
      <c r="M811" s="489">
        <v>39</v>
      </c>
      <c r="N811" s="489">
        <v>300000</v>
      </c>
      <c r="O811" s="489">
        <v>39</v>
      </c>
      <c r="P811" s="489">
        <v>400000</v>
      </c>
      <c r="Q811" s="489">
        <v>39</v>
      </c>
      <c r="R811" s="489">
        <v>500000</v>
      </c>
      <c r="S811" s="489">
        <v>39</v>
      </c>
      <c r="T811" s="489">
        <v>600000</v>
      </c>
      <c r="U811" s="489">
        <v>39</v>
      </c>
      <c r="V811" s="489">
        <v>600000</v>
      </c>
      <c r="W811" s="489"/>
      <c r="X811" s="491"/>
      <c r="Y811" s="485" t="s">
        <v>1442</v>
      </c>
    </row>
    <row r="812" spans="2:25" ht="114.75" x14ac:dyDescent="0.25">
      <c r="B812" s="519"/>
      <c r="C812" s="512"/>
      <c r="D812" s="492"/>
      <c r="E812" s="492"/>
      <c r="F812" s="492"/>
      <c r="G812" s="487" t="s">
        <v>3021</v>
      </c>
      <c r="H812" s="487" t="s">
        <v>3022</v>
      </c>
      <c r="I812" s="488" t="s">
        <v>3023</v>
      </c>
      <c r="J812" s="502"/>
      <c r="K812" s="489"/>
      <c r="L812" s="489">
        <v>0</v>
      </c>
      <c r="M812" s="489">
        <v>4</v>
      </c>
      <c r="N812" s="489">
        <v>75000</v>
      </c>
      <c r="O812" s="489">
        <v>4</v>
      </c>
      <c r="P812" s="489">
        <v>100000</v>
      </c>
      <c r="Q812" s="489">
        <v>4</v>
      </c>
      <c r="R812" s="489">
        <v>150000</v>
      </c>
      <c r="S812" s="489">
        <v>4</v>
      </c>
      <c r="T812" s="489">
        <v>200000</v>
      </c>
      <c r="U812" s="489">
        <v>4</v>
      </c>
      <c r="V812" s="489">
        <v>200000</v>
      </c>
      <c r="W812" s="489"/>
      <c r="X812" s="491"/>
      <c r="Y812" s="485" t="s">
        <v>1442</v>
      </c>
    </row>
    <row r="813" spans="2:25" ht="24" x14ac:dyDescent="0.25">
      <c r="B813" s="519"/>
      <c r="C813" s="512"/>
      <c r="D813" s="492"/>
      <c r="E813" s="492"/>
      <c r="F813" s="492"/>
      <c r="G813" s="480" t="s">
        <v>1460</v>
      </c>
      <c r="H813" s="480" t="s">
        <v>3181</v>
      </c>
      <c r="I813" s="481" t="s">
        <v>1461</v>
      </c>
      <c r="J813" s="482">
        <v>0</v>
      </c>
      <c r="K813" s="483">
        <v>6</v>
      </c>
      <c r="L813" s="483">
        <f>SUM(L814:L818)</f>
        <v>200000</v>
      </c>
      <c r="M813" s="483">
        <v>6</v>
      </c>
      <c r="N813" s="483">
        <f>SUM(N814:N818)</f>
        <v>50000</v>
      </c>
      <c r="O813" s="483">
        <v>0</v>
      </c>
      <c r="P813" s="483">
        <f>SUM(P814:P818)</f>
        <v>0</v>
      </c>
      <c r="Q813" s="483">
        <v>10</v>
      </c>
      <c r="R813" s="483">
        <f>SUM(R814:R818)</f>
        <v>250000</v>
      </c>
      <c r="S813" s="483">
        <v>10</v>
      </c>
      <c r="T813" s="483">
        <f>SUM(T814:T818)</f>
        <v>250000</v>
      </c>
      <c r="U813" s="483">
        <v>20</v>
      </c>
      <c r="V813" s="483">
        <f>SUM(V814:V818)</f>
        <v>250000</v>
      </c>
      <c r="W813" s="483">
        <v>32</v>
      </c>
      <c r="X813" s="485"/>
      <c r="Y813" s="485" t="s">
        <v>1442</v>
      </c>
    </row>
    <row r="814" spans="2:25" ht="63.75" x14ac:dyDescent="0.25">
      <c r="B814" s="519"/>
      <c r="C814" s="512"/>
      <c r="D814" s="492"/>
      <c r="E814" s="492"/>
      <c r="F814" s="492"/>
      <c r="G814" s="1977" t="s">
        <v>3024</v>
      </c>
      <c r="H814" s="487" t="s">
        <v>3025</v>
      </c>
      <c r="I814" s="488"/>
      <c r="J814" s="502"/>
      <c r="K814" s="489">
        <v>6</v>
      </c>
      <c r="L814" s="489">
        <v>200000</v>
      </c>
      <c r="M814" s="489"/>
      <c r="N814" s="489">
        <v>0</v>
      </c>
      <c r="O814" s="489"/>
      <c r="P814" s="489">
        <v>0</v>
      </c>
      <c r="Q814" s="489"/>
      <c r="R814" s="489">
        <v>0</v>
      </c>
      <c r="S814" s="489"/>
      <c r="T814" s="489">
        <v>0</v>
      </c>
      <c r="U814" s="489"/>
      <c r="V814" s="489">
        <v>0</v>
      </c>
      <c r="W814" s="489"/>
      <c r="X814" s="491"/>
      <c r="Y814" s="485" t="s">
        <v>1442</v>
      </c>
    </row>
    <row r="815" spans="2:25" ht="63.75" x14ac:dyDescent="0.25">
      <c r="B815" s="519"/>
      <c r="C815" s="512"/>
      <c r="D815" s="492"/>
      <c r="E815" s="492"/>
      <c r="F815" s="492"/>
      <c r="G815" s="1978"/>
      <c r="H815" s="487" t="s">
        <v>3026</v>
      </c>
      <c r="I815" s="488"/>
      <c r="J815" s="502"/>
      <c r="K815" s="489"/>
      <c r="L815" s="489">
        <v>0</v>
      </c>
      <c r="M815" s="489"/>
      <c r="N815" s="489">
        <v>0</v>
      </c>
      <c r="O815" s="489"/>
      <c r="P815" s="489">
        <v>0</v>
      </c>
      <c r="Q815" s="489">
        <v>5</v>
      </c>
      <c r="R815" s="489">
        <v>200000</v>
      </c>
      <c r="S815" s="489"/>
      <c r="T815" s="489">
        <v>0</v>
      </c>
      <c r="U815" s="489"/>
      <c r="V815" s="489">
        <v>0</v>
      </c>
      <c r="W815" s="489"/>
      <c r="X815" s="491"/>
      <c r="Y815" s="485" t="s">
        <v>1442</v>
      </c>
    </row>
    <row r="816" spans="2:25" ht="76.5" x14ac:dyDescent="0.25">
      <c r="B816" s="519"/>
      <c r="C816" s="512"/>
      <c r="D816" s="492"/>
      <c r="E816" s="492"/>
      <c r="F816" s="492"/>
      <c r="G816" s="1978"/>
      <c r="H816" s="487" t="s">
        <v>3027</v>
      </c>
      <c r="I816" s="488"/>
      <c r="J816" s="502"/>
      <c r="K816" s="489"/>
      <c r="L816" s="489">
        <v>0</v>
      </c>
      <c r="M816" s="489"/>
      <c r="N816" s="489">
        <v>0</v>
      </c>
      <c r="O816" s="489"/>
      <c r="P816" s="489">
        <v>0</v>
      </c>
      <c r="Q816" s="489"/>
      <c r="R816" s="489">
        <v>0</v>
      </c>
      <c r="S816" s="489">
        <v>5</v>
      </c>
      <c r="T816" s="489">
        <v>200000</v>
      </c>
      <c r="U816" s="489"/>
      <c r="V816" s="489">
        <v>200000</v>
      </c>
      <c r="W816" s="489"/>
      <c r="X816" s="491"/>
      <c r="Y816" s="485" t="s">
        <v>1442</v>
      </c>
    </row>
    <row r="817" spans="2:25" ht="25.5" x14ac:dyDescent="0.25">
      <c r="B817" s="519"/>
      <c r="C817" s="512"/>
      <c r="D817" s="492"/>
      <c r="E817" s="492"/>
      <c r="F817" s="492"/>
      <c r="G817" s="1979"/>
      <c r="H817" s="487" t="s">
        <v>3028</v>
      </c>
      <c r="I817" s="488"/>
      <c r="J817" s="502"/>
      <c r="K817" s="489"/>
      <c r="L817" s="489">
        <v>0</v>
      </c>
      <c r="M817" s="489"/>
      <c r="N817" s="489">
        <v>0</v>
      </c>
      <c r="O817" s="489"/>
      <c r="P817" s="489">
        <v>0</v>
      </c>
      <c r="Q817" s="489"/>
      <c r="R817" s="489">
        <v>0</v>
      </c>
      <c r="S817" s="489"/>
      <c r="T817" s="489">
        <v>0</v>
      </c>
      <c r="U817" s="489">
        <v>15</v>
      </c>
      <c r="V817" s="489">
        <v>0</v>
      </c>
      <c r="W817" s="489"/>
      <c r="X817" s="491"/>
      <c r="Y817" s="485" t="s">
        <v>1442</v>
      </c>
    </row>
    <row r="818" spans="2:25" ht="51" x14ac:dyDescent="0.25">
      <c r="B818" s="519"/>
      <c r="C818" s="512"/>
      <c r="D818" s="492"/>
      <c r="E818" s="492"/>
      <c r="F818" s="492"/>
      <c r="G818" s="487" t="s">
        <v>1742</v>
      </c>
      <c r="H818" s="487" t="s">
        <v>3029</v>
      </c>
      <c r="I818" s="488"/>
      <c r="J818" s="502"/>
      <c r="K818" s="489"/>
      <c r="L818" s="489">
        <v>0</v>
      </c>
      <c r="M818" s="489">
        <v>6</v>
      </c>
      <c r="N818" s="489">
        <v>50000</v>
      </c>
      <c r="O818" s="489"/>
      <c r="P818" s="489">
        <v>0</v>
      </c>
      <c r="Q818" s="489">
        <v>5</v>
      </c>
      <c r="R818" s="489">
        <v>50000</v>
      </c>
      <c r="S818" s="489">
        <v>5</v>
      </c>
      <c r="T818" s="489">
        <v>50000</v>
      </c>
      <c r="U818" s="489">
        <v>5</v>
      </c>
      <c r="V818" s="489">
        <v>50000</v>
      </c>
      <c r="W818" s="489"/>
      <c r="X818" s="491"/>
      <c r="Y818" s="485" t="s">
        <v>1442</v>
      </c>
    </row>
    <row r="819" spans="2:25" ht="13.5" thickBot="1" x14ac:dyDescent="0.3">
      <c r="B819" s="525"/>
      <c r="C819" s="526"/>
      <c r="D819" s="526"/>
      <c r="E819" s="526"/>
      <c r="F819" s="526"/>
      <c r="G819" s="526"/>
      <c r="H819" s="526"/>
      <c r="I819" s="527"/>
      <c r="J819" s="528"/>
      <c r="K819" s="529"/>
      <c r="L819" s="530">
        <f>SUM(L737:L818)/2</f>
        <v>41310000</v>
      </c>
      <c r="M819" s="529"/>
      <c r="N819" s="530">
        <f>SUM(N737:N818)/2</f>
        <v>45214000</v>
      </c>
      <c r="O819" s="529"/>
      <c r="P819" s="530">
        <f>SUM(P737:P818)/2</f>
        <v>63591250</v>
      </c>
      <c r="Q819" s="529"/>
      <c r="R819" s="530">
        <f>SUM(R737:R818)/2</f>
        <v>58525500</v>
      </c>
      <c r="S819" s="529"/>
      <c r="T819" s="530">
        <f>SUM(T737:T818)/2</f>
        <v>37790500</v>
      </c>
      <c r="U819" s="529"/>
      <c r="V819" s="530">
        <f>SUM(V737:V818)/2</f>
        <v>37790500</v>
      </c>
      <c r="W819" s="529"/>
      <c r="X819" s="531"/>
      <c r="Y819" s="531"/>
    </row>
    <row r="820" spans="2:25" ht="13.5" thickTop="1" x14ac:dyDescent="0.25">
      <c r="L820" s="534"/>
    </row>
    <row r="821" spans="2:25" x14ac:dyDescent="0.25">
      <c r="L821" s="534"/>
    </row>
  </sheetData>
  <mergeCells count="273">
    <mergeCell ref="D322:D325"/>
    <mergeCell ref="C322:C326"/>
    <mergeCell ref="B322:B327"/>
    <mergeCell ref="C269:C270"/>
    <mergeCell ref="C353:C354"/>
    <mergeCell ref="D353:D354"/>
    <mergeCell ref="F353:F354"/>
    <mergeCell ref="F174:F175"/>
    <mergeCell ref="C204:C206"/>
    <mergeCell ref="D204:D206"/>
    <mergeCell ref="B204:B211"/>
    <mergeCell ref="E250:E251"/>
    <mergeCell ref="H201:H203"/>
    <mergeCell ref="B104:B124"/>
    <mergeCell ref="B6:B61"/>
    <mergeCell ref="G8:G10"/>
    <mergeCell ref="G11:G12"/>
    <mergeCell ref="G13:G14"/>
    <mergeCell ref="G16:G17"/>
    <mergeCell ref="G18:G19"/>
    <mergeCell ref="G86:G87"/>
    <mergeCell ref="G88:G92"/>
    <mergeCell ref="B98:F98"/>
    <mergeCell ref="B63:B97"/>
    <mergeCell ref="G35:G36"/>
    <mergeCell ref="G48:G50"/>
    <mergeCell ref="G53:G54"/>
    <mergeCell ref="G79:G80"/>
    <mergeCell ref="G81:G85"/>
    <mergeCell ref="C6:C8"/>
    <mergeCell ref="X106:X108"/>
    <mergeCell ref="X118:X119"/>
    <mergeCell ref="B126:B148"/>
    <mergeCell ref="C122:C124"/>
    <mergeCell ref="D155:D156"/>
    <mergeCell ref="C155:C156"/>
    <mergeCell ref="D122:D124"/>
    <mergeCell ref="E122:E124"/>
    <mergeCell ref="J152:J154"/>
    <mergeCell ref="K152:W152"/>
    <mergeCell ref="B149:F149"/>
    <mergeCell ref="C126:C127"/>
    <mergeCell ref="D126:D127"/>
    <mergeCell ref="F126:F127"/>
    <mergeCell ref="H152:H154"/>
    <mergeCell ref="I152:I154"/>
    <mergeCell ref="X152:X154"/>
    <mergeCell ref="C386:C390"/>
    <mergeCell ref="D386:D389"/>
    <mergeCell ref="C456:C457"/>
    <mergeCell ref="D456:D457"/>
    <mergeCell ref="F456:F457"/>
    <mergeCell ref="V371:V373"/>
    <mergeCell ref="C380:F380"/>
    <mergeCell ref="G371:G373"/>
    <mergeCell ref="L371:L373"/>
    <mergeCell ref="N371:N373"/>
    <mergeCell ref="R371:R373"/>
    <mergeCell ref="T371:T373"/>
    <mergeCell ref="P371:P373"/>
    <mergeCell ref="H383:H385"/>
    <mergeCell ref="I383:I385"/>
    <mergeCell ref="J383:J385"/>
    <mergeCell ref="K383:W383"/>
    <mergeCell ref="G814:G817"/>
    <mergeCell ref="G776:G779"/>
    <mergeCell ref="G754:G755"/>
    <mergeCell ref="G757:G759"/>
    <mergeCell ref="F781:F782"/>
    <mergeCell ref="B781:B809"/>
    <mergeCell ref="B737:B741"/>
    <mergeCell ref="C781:C782"/>
    <mergeCell ref="D781:D782"/>
    <mergeCell ref="C763:C765"/>
    <mergeCell ref="D763:D765"/>
    <mergeCell ref="C737:C739"/>
    <mergeCell ref="D737:D739"/>
    <mergeCell ref="B594:B665"/>
    <mergeCell ref="D594:D595"/>
    <mergeCell ref="F594:F595"/>
    <mergeCell ref="G691:G692"/>
    <mergeCell ref="G694:G697"/>
    <mergeCell ref="B731:F731"/>
    <mergeCell ref="B666:F666"/>
    <mergeCell ref="C704:C705"/>
    <mergeCell ref="D704:D705"/>
    <mergeCell ref="F704:F705"/>
    <mergeCell ref="D669:D671"/>
    <mergeCell ref="E669:E671"/>
    <mergeCell ref="F669:F671"/>
    <mergeCell ref="G680:G681"/>
    <mergeCell ref="C594:C595"/>
    <mergeCell ref="B672:B677"/>
    <mergeCell ref="C672:C676"/>
    <mergeCell ref="D672:D675"/>
    <mergeCell ref="B704:B730"/>
    <mergeCell ref="G669:G671"/>
    <mergeCell ref="B669:B671"/>
    <mergeCell ref="C669:C671"/>
    <mergeCell ref="G3:G5"/>
    <mergeCell ref="F201:F203"/>
    <mergeCell ref="G201:G203"/>
    <mergeCell ref="C494:C496"/>
    <mergeCell ref="D494:D496"/>
    <mergeCell ref="G494:G496"/>
    <mergeCell ref="B353:B379"/>
    <mergeCell ref="B456:B490"/>
    <mergeCell ref="F269:F270"/>
    <mergeCell ref="B494:B496"/>
    <mergeCell ref="E494:E496"/>
    <mergeCell ref="F494:F496"/>
    <mergeCell ref="D174:D175"/>
    <mergeCell ref="D269:D270"/>
    <mergeCell ref="B155:B172"/>
    <mergeCell ref="G152:G154"/>
    <mergeCell ref="C383:C385"/>
    <mergeCell ref="D383:D385"/>
    <mergeCell ref="E383:E385"/>
    <mergeCell ref="F383:F385"/>
    <mergeCell ref="G383:G385"/>
    <mergeCell ref="C491:F491"/>
    <mergeCell ref="G336:G338"/>
    <mergeCell ref="G369:G370"/>
    <mergeCell ref="B497:B592"/>
    <mergeCell ref="C174:C175"/>
    <mergeCell ref="B269:B315"/>
    <mergeCell ref="B3:B5"/>
    <mergeCell ref="C3:C5"/>
    <mergeCell ref="D3:D5"/>
    <mergeCell ref="E3:E5"/>
    <mergeCell ref="F3:F5"/>
    <mergeCell ref="B201:B203"/>
    <mergeCell ref="C201:C203"/>
    <mergeCell ref="D201:D203"/>
    <mergeCell ref="E201:E203"/>
    <mergeCell ref="B174:B197"/>
    <mergeCell ref="D6:D8"/>
    <mergeCell ref="E6:E8"/>
    <mergeCell ref="C63:C64"/>
    <mergeCell ref="D63:D64"/>
    <mergeCell ref="F63:F64"/>
    <mergeCell ref="B152:B154"/>
    <mergeCell ref="C152:C154"/>
    <mergeCell ref="D152:D154"/>
    <mergeCell ref="E152:E154"/>
    <mergeCell ref="F152:F154"/>
    <mergeCell ref="B383:B385"/>
    <mergeCell ref="H3:H5"/>
    <mergeCell ref="I3:I5"/>
    <mergeCell ref="J3:J5"/>
    <mergeCell ref="K3:W3"/>
    <mergeCell ref="X3:X5"/>
    <mergeCell ref="Y3:Y5"/>
    <mergeCell ref="K4:L4"/>
    <mergeCell ref="M4:N4"/>
    <mergeCell ref="O4:P4"/>
    <mergeCell ref="Q4:R4"/>
    <mergeCell ref="X101:X103"/>
    <mergeCell ref="Y101:Y103"/>
    <mergeCell ref="K102:L102"/>
    <mergeCell ref="M102:N102"/>
    <mergeCell ref="O102:P102"/>
    <mergeCell ref="Q102:R102"/>
    <mergeCell ref="S102:T102"/>
    <mergeCell ref="S4:T4"/>
    <mergeCell ref="U4:V4"/>
    <mergeCell ref="W4:W5"/>
    <mergeCell ref="U102:V102"/>
    <mergeCell ref="W102:W103"/>
    <mergeCell ref="I101:I103"/>
    <mergeCell ref="J101:J103"/>
    <mergeCell ref="K101:W101"/>
    <mergeCell ref="B101:B103"/>
    <mergeCell ref="C101:C103"/>
    <mergeCell ref="D101:D103"/>
    <mergeCell ref="E101:E103"/>
    <mergeCell ref="F101:F103"/>
    <mergeCell ref="G101:G103"/>
    <mergeCell ref="H101:H103"/>
    <mergeCell ref="Y152:Y154"/>
    <mergeCell ref="K153:L153"/>
    <mergeCell ref="M153:N153"/>
    <mergeCell ref="O153:P153"/>
    <mergeCell ref="Q153:R153"/>
    <mergeCell ref="S153:T153"/>
    <mergeCell ref="U153:V153"/>
    <mergeCell ref="W153:W154"/>
    <mergeCell ref="I201:I203"/>
    <mergeCell ref="J201:J203"/>
    <mergeCell ref="K201:W201"/>
    <mergeCell ref="X201:X203"/>
    <mergeCell ref="Y201:Y203"/>
    <mergeCell ref="K202:L202"/>
    <mergeCell ref="M202:N202"/>
    <mergeCell ref="O202:P202"/>
    <mergeCell ref="Q202:R202"/>
    <mergeCell ref="S202:T202"/>
    <mergeCell ref="X319:X321"/>
    <mergeCell ref="Y319:Y321"/>
    <mergeCell ref="K320:L320"/>
    <mergeCell ref="M320:N320"/>
    <mergeCell ref="O320:P320"/>
    <mergeCell ref="Q320:R320"/>
    <mergeCell ref="S320:T320"/>
    <mergeCell ref="U320:V320"/>
    <mergeCell ref="U202:V202"/>
    <mergeCell ref="W202:W203"/>
    <mergeCell ref="W320:W321"/>
    <mergeCell ref="J319:J321"/>
    <mergeCell ref="K319:W319"/>
    <mergeCell ref="B319:B321"/>
    <mergeCell ref="C319:C321"/>
    <mergeCell ref="D319:D321"/>
    <mergeCell ref="E319:E321"/>
    <mergeCell ref="F319:F321"/>
    <mergeCell ref="G319:G321"/>
    <mergeCell ref="H319:H321"/>
    <mergeCell ref="I319:I321"/>
    <mergeCell ref="X383:X385"/>
    <mergeCell ref="Y383:Y385"/>
    <mergeCell ref="K384:L384"/>
    <mergeCell ref="M384:N384"/>
    <mergeCell ref="O384:P384"/>
    <mergeCell ref="Q384:R384"/>
    <mergeCell ref="S384:T384"/>
    <mergeCell ref="U384:V384"/>
    <mergeCell ref="W384:W385"/>
    <mergeCell ref="H494:H496"/>
    <mergeCell ref="I494:I496"/>
    <mergeCell ref="J494:J496"/>
    <mergeCell ref="K494:W494"/>
    <mergeCell ref="G588:G590"/>
    <mergeCell ref="X494:X496"/>
    <mergeCell ref="Y494:Y496"/>
    <mergeCell ref="K495:L495"/>
    <mergeCell ref="M495:N495"/>
    <mergeCell ref="O495:P495"/>
    <mergeCell ref="Q495:R495"/>
    <mergeCell ref="S495:T495"/>
    <mergeCell ref="U495:V495"/>
    <mergeCell ref="W495:W496"/>
    <mergeCell ref="X734:X736"/>
    <mergeCell ref="Y734:Y736"/>
    <mergeCell ref="K735:L735"/>
    <mergeCell ref="H669:H671"/>
    <mergeCell ref="I669:I671"/>
    <mergeCell ref="J669:J671"/>
    <mergeCell ref="K669:W669"/>
    <mergeCell ref="X669:X671"/>
    <mergeCell ref="Y669:Y671"/>
    <mergeCell ref="K670:L670"/>
    <mergeCell ref="M670:N670"/>
    <mergeCell ref="O670:P670"/>
    <mergeCell ref="Q670:R670"/>
    <mergeCell ref="S670:T670"/>
    <mergeCell ref="U670:V670"/>
    <mergeCell ref="W670:W671"/>
    <mergeCell ref="M735:N735"/>
    <mergeCell ref="O735:P735"/>
    <mergeCell ref="Q735:R735"/>
    <mergeCell ref="S735:T735"/>
    <mergeCell ref="U735:V735"/>
    <mergeCell ref="W735:W736"/>
    <mergeCell ref="K734:W734"/>
    <mergeCell ref="B734:B736"/>
    <mergeCell ref="C734:C736"/>
    <mergeCell ref="D734:D736"/>
    <mergeCell ref="E734:E736"/>
    <mergeCell ref="F734:F736"/>
    <mergeCell ref="G734:G736"/>
    <mergeCell ref="H734:H736"/>
    <mergeCell ref="I734:I736"/>
    <mergeCell ref="J734:J736"/>
  </mergeCells>
  <pageMargins left="0.7" right="0.7" top="0.75" bottom="0.75" header="0.3" footer="0.3"/>
  <pageSetup paperSize="9" orientation="portrait" horizontalDpi="4294967293"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I467"/>
  <sheetViews>
    <sheetView topLeftCell="A440" workbookViewId="0">
      <selection activeCell="B440" sqref="B440:B465"/>
    </sheetView>
  </sheetViews>
  <sheetFormatPr defaultRowHeight="12.75" x14ac:dyDescent="0.25"/>
  <cols>
    <col min="1" max="1" width="9.140625" style="210"/>
    <col min="2" max="2" width="16.5703125" style="210" customWidth="1"/>
    <col min="3" max="3" width="14" style="210" customWidth="1"/>
    <col min="4" max="4" width="13.7109375" style="210" customWidth="1"/>
    <col min="5" max="5" width="12.5703125" style="210" customWidth="1"/>
    <col min="6" max="6" width="15.7109375" style="210" customWidth="1"/>
    <col min="7" max="7" width="28.140625" style="210" customWidth="1"/>
    <col min="8" max="8" width="15.140625" style="210" customWidth="1"/>
    <col min="9" max="9" width="15.42578125" style="210" bestFit="1" customWidth="1"/>
    <col min="10" max="10" width="10.28515625" style="874" customWidth="1"/>
    <col min="11" max="11" width="15.42578125" style="874" bestFit="1" customWidth="1"/>
    <col min="12" max="12" width="14.42578125" style="210" customWidth="1"/>
    <col min="13" max="13" width="16.5703125" style="874" bestFit="1" customWidth="1"/>
    <col min="14" max="14" width="14" style="210" customWidth="1"/>
    <col min="15" max="15" width="10.7109375" style="874" bestFit="1" customWidth="1"/>
    <col min="16" max="16" width="13.7109375" style="210" customWidth="1"/>
    <col min="17" max="17" width="9.140625" style="874"/>
    <col min="18" max="18" width="13.42578125" style="210" customWidth="1"/>
    <col min="19" max="19" width="9.140625" style="874"/>
    <col min="20" max="20" width="14" style="210" customWidth="1"/>
    <col min="21" max="21" width="9.140625" style="874"/>
    <col min="22" max="22" width="13.5703125" style="210" customWidth="1"/>
    <col min="23" max="23" width="10.140625" style="876" bestFit="1" customWidth="1"/>
    <col min="24" max="24" width="23.140625" style="210" customWidth="1"/>
    <col min="25" max="25" width="12.42578125" style="210" customWidth="1"/>
    <col min="26" max="27" width="9.140625" style="210"/>
    <col min="28" max="34" width="10.5703125" style="210" bestFit="1" customWidth="1"/>
    <col min="35" max="16384" width="9.140625" style="210"/>
  </cols>
  <sheetData>
    <row r="3" spans="2:31" ht="13.5" thickBot="1" x14ac:dyDescent="0.3">
      <c r="B3" s="696" t="s">
        <v>0</v>
      </c>
      <c r="C3" s="697" t="s">
        <v>1853</v>
      </c>
      <c r="E3" s="698"/>
      <c r="F3" s="696"/>
      <c r="G3" s="696"/>
      <c r="H3" s="696"/>
      <c r="I3" s="699"/>
      <c r="J3" s="700"/>
      <c r="K3" s="701"/>
      <c r="L3" s="696"/>
      <c r="M3" s="700"/>
      <c r="N3" s="696"/>
      <c r="O3" s="700"/>
      <c r="P3" s="696"/>
      <c r="Q3" s="700"/>
      <c r="R3" s="696"/>
      <c r="S3" s="700"/>
      <c r="T3" s="696"/>
      <c r="U3" s="700"/>
      <c r="V3" s="696"/>
      <c r="W3" s="702"/>
      <c r="X3" s="696"/>
      <c r="Y3" s="696"/>
    </row>
    <row r="4" spans="2:31" s="219" customFormat="1" thickTop="1" x14ac:dyDescent="0.2">
      <c r="B4" s="1932" t="s">
        <v>1</v>
      </c>
      <c r="C4" s="1934" t="s">
        <v>2</v>
      </c>
      <c r="D4" s="1934" t="s">
        <v>3</v>
      </c>
      <c r="E4" s="1934" t="s">
        <v>4</v>
      </c>
      <c r="F4" s="1934" t="s">
        <v>5</v>
      </c>
      <c r="G4" s="1934" t="s">
        <v>6</v>
      </c>
      <c r="H4" s="1934" t="s">
        <v>1854</v>
      </c>
      <c r="I4" s="1934" t="s">
        <v>31</v>
      </c>
      <c r="J4" s="1936" t="s">
        <v>1855</v>
      </c>
      <c r="K4" s="1934" t="s">
        <v>7</v>
      </c>
      <c r="L4" s="1934"/>
      <c r="M4" s="1934"/>
      <c r="N4" s="1934"/>
      <c r="O4" s="1934"/>
      <c r="P4" s="1934"/>
      <c r="Q4" s="1934"/>
      <c r="R4" s="1934"/>
      <c r="S4" s="1934"/>
      <c r="T4" s="1934"/>
      <c r="U4" s="1934"/>
      <c r="V4" s="1934"/>
      <c r="W4" s="1934"/>
      <c r="X4" s="1934" t="s">
        <v>8</v>
      </c>
      <c r="Y4" s="1938" t="s">
        <v>1856</v>
      </c>
    </row>
    <row r="5" spans="2:31" s="219" customFormat="1" ht="12" x14ac:dyDescent="0.2">
      <c r="B5" s="1933"/>
      <c r="C5" s="1935"/>
      <c r="D5" s="1935"/>
      <c r="E5" s="1935"/>
      <c r="F5" s="1935"/>
      <c r="G5" s="1935"/>
      <c r="H5" s="1935"/>
      <c r="I5" s="1935"/>
      <c r="J5" s="1937"/>
      <c r="K5" s="1935">
        <v>2016</v>
      </c>
      <c r="L5" s="1935"/>
      <c r="M5" s="1935">
        <v>2017</v>
      </c>
      <c r="N5" s="1935"/>
      <c r="O5" s="1935">
        <v>2018</v>
      </c>
      <c r="P5" s="1935"/>
      <c r="Q5" s="1935">
        <v>2019</v>
      </c>
      <c r="R5" s="1935"/>
      <c r="S5" s="1935">
        <v>2020</v>
      </c>
      <c r="T5" s="1935"/>
      <c r="U5" s="1935">
        <v>2021</v>
      </c>
      <c r="V5" s="1935"/>
      <c r="W5" s="1940" t="s">
        <v>1857</v>
      </c>
      <c r="X5" s="1935"/>
      <c r="Y5" s="1939"/>
    </row>
    <row r="6" spans="2:31" s="219" customFormat="1" ht="12" x14ac:dyDescent="0.2">
      <c r="B6" s="1933"/>
      <c r="C6" s="1935"/>
      <c r="D6" s="1935"/>
      <c r="E6" s="1935"/>
      <c r="F6" s="1935"/>
      <c r="G6" s="1935"/>
      <c r="H6" s="1935"/>
      <c r="I6" s="1935"/>
      <c r="J6" s="1937"/>
      <c r="K6" s="707" t="s">
        <v>1858</v>
      </c>
      <c r="L6" s="1889" t="s">
        <v>1355</v>
      </c>
      <c r="M6" s="844" t="s">
        <v>1858</v>
      </c>
      <c r="N6" s="1889" t="s">
        <v>1355</v>
      </c>
      <c r="O6" s="844" t="s">
        <v>1858</v>
      </c>
      <c r="P6" s="1889" t="s">
        <v>1355</v>
      </c>
      <c r="Q6" s="844" t="s">
        <v>1858</v>
      </c>
      <c r="R6" s="1889" t="s">
        <v>1355</v>
      </c>
      <c r="S6" s="844" t="s">
        <v>1858</v>
      </c>
      <c r="T6" s="1889" t="s">
        <v>1355</v>
      </c>
      <c r="U6" s="844" t="s">
        <v>1858</v>
      </c>
      <c r="V6" s="1889" t="s">
        <v>1355</v>
      </c>
      <c r="W6" s="1940"/>
      <c r="X6" s="1935"/>
      <c r="Y6" s="1939"/>
    </row>
    <row r="7" spans="2:31" ht="72" x14ac:dyDescent="0.25">
      <c r="B7" s="2011" t="s">
        <v>1357</v>
      </c>
      <c r="C7" s="62" t="s">
        <v>3957</v>
      </c>
      <c r="D7" s="183" t="s">
        <v>3956</v>
      </c>
      <c r="E7" s="62" t="s">
        <v>3958</v>
      </c>
      <c r="F7" s="62" t="s">
        <v>1365</v>
      </c>
      <c r="G7" s="1774" t="s">
        <v>3959</v>
      </c>
      <c r="H7" s="38"/>
      <c r="I7" s="275" t="s">
        <v>313</v>
      </c>
      <c r="J7" s="276" t="s">
        <v>1367</v>
      </c>
      <c r="K7" s="277" t="s">
        <v>1368</v>
      </c>
      <c r="L7" s="271"/>
      <c r="M7" s="5" t="s">
        <v>1369</v>
      </c>
      <c r="N7" s="271"/>
      <c r="O7" s="278" t="s">
        <v>1370</v>
      </c>
      <c r="P7" s="271"/>
      <c r="Q7" s="278" t="s">
        <v>1371</v>
      </c>
      <c r="R7" s="271"/>
      <c r="S7" s="278" t="s">
        <v>1372</v>
      </c>
      <c r="T7" s="271"/>
      <c r="U7" s="278" t="s">
        <v>1373</v>
      </c>
      <c r="V7" s="271"/>
      <c r="W7" s="278" t="s">
        <v>1372</v>
      </c>
      <c r="X7" s="668"/>
      <c r="Y7" s="837" t="s">
        <v>1535</v>
      </c>
      <c r="AA7" s="944"/>
      <c r="AB7" s="192"/>
      <c r="AC7" s="192"/>
      <c r="AD7" s="192"/>
      <c r="AE7" s="47"/>
    </row>
    <row r="8" spans="2:31" ht="36" customHeight="1" x14ac:dyDescent="0.25">
      <c r="B8" s="2012"/>
      <c r="C8" s="192"/>
      <c r="D8" s="192"/>
      <c r="E8" s="192"/>
      <c r="F8" s="45"/>
      <c r="G8" s="685" t="s">
        <v>1444</v>
      </c>
      <c r="H8" s="22" t="s">
        <v>1365</v>
      </c>
      <c r="I8" s="275" t="s">
        <v>313</v>
      </c>
      <c r="J8" s="276" t="s">
        <v>1367</v>
      </c>
      <c r="K8" s="277" t="s">
        <v>1368</v>
      </c>
      <c r="L8" s="271">
        <f>SUM(L9)</f>
        <v>30000</v>
      </c>
      <c r="M8" s="5" t="s">
        <v>1369</v>
      </c>
      <c r="N8" s="271">
        <f>SUM(N9)</f>
        <v>35000</v>
      </c>
      <c r="O8" s="278" t="s">
        <v>1370</v>
      </c>
      <c r="P8" s="271">
        <f>SUM(P9)</f>
        <v>40000</v>
      </c>
      <c r="Q8" s="278" t="s">
        <v>1371</v>
      </c>
      <c r="R8" s="271">
        <f>SUM(R9)</f>
        <v>45000</v>
      </c>
      <c r="S8" s="278" t="s">
        <v>1372</v>
      </c>
      <c r="T8" s="271">
        <f>SUM(T9)</f>
        <v>50000</v>
      </c>
      <c r="U8" s="278" t="s">
        <v>1373</v>
      </c>
      <c r="V8" s="271">
        <f>SUM(V9)</f>
        <v>50000</v>
      </c>
      <c r="W8" s="278" t="s">
        <v>1372</v>
      </c>
      <c r="X8" s="668"/>
      <c r="Y8" s="837" t="s">
        <v>1535</v>
      </c>
      <c r="AA8" s="944"/>
      <c r="AB8" s="192"/>
      <c r="AC8" s="192"/>
      <c r="AD8" s="192"/>
      <c r="AE8" s="47"/>
    </row>
    <row r="9" spans="2:31" ht="69" customHeight="1" x14ac:dyDescent="0.25">
      <c r="B9" s="2012"/>
      <c r="C9" s="60"/>
      <c r="D9" s="60"/>
      <c r="E9" s="60"/>
      <c r="F9" s="675"/>
      <c r="G9" s="173" t="s">
        <v>1634</v>
      </c>
      <c r="H9" s="173" t="s">
        <v>1977</v>
      </c>
      <c r="I9" s="165" t="s">
        <v>100</v>
      </c>
      <c r="J9" s="843">
        <v>60</v>
      </c>
      <c r="K9" s="843">
        <v>60</v>
      </c>
      <c r="L9" s="164">
        <v>30000</v>
      </c>
      <c r="M9" s="843">
        <v>60</v>
      </c>
      <c r="N9" s="164">
        <v>35000</v>
      </c>
      <c r="O9" s="843">
        <v>60</v>
      </c>
      <c r="P9" s="164">
        <v>40000</v>
      </c>
      <c r="Q9" s="843">
        <v>60</v>
      </c>
      <c r="R9" s="164">
        <v>45000</v>
      </c>
      <c r="S9" s="843">
        <v>60</v>
      </c>
      <c r="T9" s="164">
        <v>50000</v>
      </c>
      <c r="U9" s="843">
        <v>60</v>
      </c>
      <c r="V9" s="164">
        <v>50000</v>
      </c>
      <c r="W9" s="842">
        <v>300</v>
      </c>
      <c r="X9" s="164"/>
      <c r="Y9" s="837" t="s">
        <v>1535</v>
      </c>
      <c r="AA9" s="944"/>
      <c r="AB9" s="192"/>
      <c r="AC9" s="192"/>
      <c r="AD9" s="192"/>
      <c r="AE9" s="47"/>
    </row>
    <row r="10" spans="2:31" x14ac:dyDescent="0.25">
      <c r="B10" s="2012"/>
      <c r="C10" s="674"/>
      <c r="D10" s="674"/>
      <c r="E10" s="674"/>
      <c r="F10" s="674"/>
      <c r="G10" s="173"/>
      <c r="H10" s="673"/>
      <c r="I10" s="165"/>
      <c r="J10" s="843"/>
      <c r="K10" s="843"/>
      <c r="L10" s="164"/>
      <c r="M10" s="843"/>
      <c r="N10" s="164"/>
      <c r="O10" s="843"/>
      <c r="P10" s="164"/>
      <c r="Q10" s="843"/>
      <c r="R10" s="164"/>
      <c r="S10" s="843"/>
      <c r="T10" s="164"/>
      <c r="U10" s="843"/>
      <c r="V10" s="164"/>
      <c r="W10" s="842"/>
      <c r="X10" s="164"/>
      <c r="Y10" s="837" t="s">
        <v>1535</v>
      </c>
      <c r="AA10" s="946"/>
      <c r="AB10" s="946"/>
      <c r="AC10" s="946"/>
      <c r="AD10" s="946"/>
      <c r="AE10" s="947"/>
    </row>
    <row r="11" spans="2:31" s="219" customFormat="1" ht="57.75" customHeight="1" x14ac:dyDescent="0.2">
      <c r="B11" s="2012"/>
      <c r="C11" s="1954" t="s">
        <v>3960</v>
      </c>
      <c r="D11" s="1954" t="s">
        <v>3972</v>
      </c>
      <c r="E11" s="1954" t="s">
        <v>3973</v>
      </c>
      <c r="F11" s="685" t="s">
        <v>3212</v>
      </c>
      <c r="G11" s="1775" t="s">
        <v>3961</v>
      </c>
      <c r="H11" s="172"/>
      <c r="I11" s="669" t="s">
        <v>19</v>
      </c>
      <c r="J11" s="707">
        <v>52.58</v>
      </c>
      <c r="K11" s="707">
        <v>58.75</v>
      </c>
      <c r="L11" s="834"/>
      <c r="M11" s="934">
        <v>61.68</v>
      </c>
      <c r="N11" s="834"/>
      <c r="O11" s="934">
        <v>64.77</v>
      </c>
      <c r="P11" s="834"/>
      <c r="Q11" s="934">
        <v>67.849999999999994</v>
      </c>
      <c r="R11" s="834"/>
      <c r="S11" s="934">
        <v>70.94</v>
      </c>
      <c r="T11" s="834"/>
      <c r="U11" s="934">
        <v>70.94</v>
      </c>
      <c r="V11" s="834"/>
      <c r="W11" s="935">
        <v>70.94</v>
      </c>
      <c r="X11" s="218"/>
      <c r="Y11" s="1770" t="s">
        <v>1535</v>
      </c>
    </row>
    <row r="12" spans="2:31" ht="60" x14ac:dyDescent="0.25">
      <c r="B12" s="229"/>
      <c r="C12" s="1955"/>
      <c r="D12" s="1955"/>
      <c r="E12" s="1955"/>
      <c r="F12" s="170"/>
      <c r="G12" s="172" t="s">
        <v>1537</v>
      </c>
      <c r="H12" s="685" t="s">
        <v>3212</v>
      </c>
      <c r="I12" s="669" t="s">
        <v>19</v>
      </c>
      <c r="J12" s="707">
        <v>52.58</v>
      </c>
      <c r="K12" s="707">
        <v>58.75</v>
      </c>
      <c r="L12" s="834">
        <f>SUM(L14:L18)</f>
        <v>49617906</v>
      </c>
      <c r="M12" s="934">
        <v>61.68</v>
      </c>
      <c r="N12" s="834">
        <f>SUM(N14:N18)</f>
        <v>80650000</v>
      </c>
      <c r="O12" s="934">
        <v>64.77</v>
      </c>
      <c r="P12" s="834">
        <f>SUM(P14:P18)</f>
        <v>84965000</v>
      </c>
      <c r="Q12" s="934">
        <v>67.849999999999994</v>
      </c>
      <c r="R12" s="834">
        <f>SUM(R14:R18)</f>
        <v>87961150</v>
      </c>
      <c r="S12" s="934">
        <v>70.94</v>
      </c>
      <c r="T12" s="834">
        <f>SUM(T14:T18)</f>
        <v>91157650</v>
      </c>
      <c r="U12" s="934">
        <v>70.94</v>
      </c>
      <c r="V12" s="834">
        <f>SUM(V14:V18)</f>
        <v>91157650</v>
      </c>
      <c r="W12" s="935">
        <v>70.94</v>
      </c>
      <c r="X12" s="2038"/>
      <c r="Y12" s="837" t="s">
        <v>1535</v>
      </c>
    </row>
    <row r="13" spans="2:31" ht="60" x14ac:dyDescent="0.25">
      <c r="B13" s="229"/>
      <c r="C13" s="674"/>
      <c r="D13" s="1955"/>
      <c r="E13" s="170"/>
      <c r="F13" s="170"/>
      <c r="G13" s="170"/>
      <c r="H13" s="685" t="s">
        <v>1536</v>
      </c>
      <c r="I13" s="669" t="s">
        <v>75</v>
      </c>
      <c r="J13" s="836">
        <v>355</v>
      </c>
      <c r="K13" s="836">
        <v>5</v>
      </c>
      <c r="L13" s="838"/>
      <c r="M13" s="839">
        <v>5</v>
      </c>
      <c r="N13" s="838"/>
      <c r="O13" s="839">
        <v>5</v>
      </c>
      <c r="P13" s="838"/>
      <c r="Q13" s="839">
        <v>5</v>
      </c>
      <c r="R13" s="838"/>
      <c r="S13" s="839">
        <v>5</v>
      </c>
      <c r="T13" s="838"/>
      <c r="U13" s="839">
        <v>5</v>
      </c>
      <c r="V13" s="838"/>
      <c r="W13" s="840">
        <v>380</v>
      </c>
      <c r="X13" s="2038"/>
      <c r="Y13" s="837" t="s">
        <v>1535</v>
      </c>
    </row>
    <row r="14" spans="2:31" ht="38.25" x14ac:dyDescent="0.25">
      <c r="B14" s="229"/>
      <c r="C14" s="674"/>
      <c r="D14" s="674"/>
      <c r="E14" s="674"/>
      <c r="F14" s="674"/>
      <c r="G14" s="2019" t="s">
        <v>1859</v>
      </c>
      <c r="H14" s="173" t="s">
        <v>1538</v>
      </c>
      <c r="I14" s="165" t="s">
        <v>1539</v>
      </c>
      <c r="J14" s="832">
        <v>98.8</v>
      </c>
      <c r="K14" s="706">
        <v>32</v>
      </c>
      <c r="L14" s="841">
        <v>33150000</v>
      </c>
      <c r="M14" s="706">
        <v>35</v>
      </c>
      <c r="N14" s="841">
        <v>35000000</v>
      </c>
      <c r="O14" s="706">
        <v>35</v>
      </c>
      <c r="P14" s="841">
        <v>35000000</v>
      </c>
      <c r="Q14" s="706">
        <v>35</v>
      </c>
      <c r="R14" s="841">
        <v>35000000</v>
      </c>
      <c r="S14" s="706">
        <v>35</v>
      </c>
      <c r="T14" s="841">
        <v>35000000</v>
      </c>
      <c r="U14" s="706">
        <v>35</v>
      </c>
      <c r="V14" s="841">
        <v>35000000</v>
      </c>
      <c r="W14" s="842">
        <v>172</v>
      </c>
      <c r="X14" s="164"/>
      <c r="Y14" s="837" t="s">
        <v>1535</v>
      </c>
    </row>
    <row r="15" spans="2:31" ht="51" x14ac:dyDescent="0.25">
      <c r="B15" s="229"/>
      <c r="C15" s="674"/>
      <c r="D15" s="674"/>
      <c r="E15" s="674"/>
      <c r="F15" s="674"/>
      <c r="G15" s="2019"/>
      <c r="H15" s="173" t="s">
        <v>1860</v>
      </c>
      <c r="I15" s="165" t="s">
        <v>1539</v>
      </c>
      <c r="J15" s="843"/>
      <c r="K15" s="843">
        <v>0</v>
      </c>
      <c r="L15" s="164">
        <v>0</v>
      </c>
      <c r="M15" s="843">
        <v>1</v>
      </c>
      <c r="N15" s="164">
        <v>1650000</v>
      </c>
      <c r="O15" s="843">
        <v>1</v>
      </c>
      <c r="P15" s="164">
        <v>1815000</v>
      </c>
      <c r="Q15" s="843">
        <v>1</v>
      </c>
      <c r="R15" s="164">
        <v>1996150</v>
      </c>
      <c r="S15" s="843">
        <v>1</v>
      </c>
      <c r="T15" s="164">
        <v>2196150</v>
      </c>
      <c r="U15" s="843">
        <v>1</v>
      </c>
      <c r="V15" s="164">
        <v>2196150</v>
      </c>
      <c r="W15" s="842">
        <v>4</v>
      </c>
      <c r="X15" s="164"/>
      <c r="Y15" s="837" t="s">
        <v>1535</v>
      </c>
    </row>
    <row r="16" spans="2:31" ht="51" x14ac:dyDescent="0.25">
      <c r="B16" s="229"/>
      <c r="C16" s="674"/>
      <c r="D16" s="674"/>
      <c r="E16" s="674"/>
      <c r="F16" s="674"/>
      <c r="G16" s="2019"/>
      <c r="H16" s="173" t="s">
        <v>1861</v>
      </c>
      <c r="I16" s="165" t="s">
        <v>1539</v>
      </c>
      <c r="J16" s="843"/>
      <c r="K16" s="843">
        <v>0</v>
      </c>
      <c r="L16" s="164">
        <v>0</v>
      </c>
      <c r="M16" s="843">
        <v>10</v>
      </c>
      <c r="N16" s="164">
        <v>16500000</v>
      </c>
      <c r="O16" s="843">
        <v>10</v>
      </c>
      <c r="P16" s="164">
        <v>18150000</v>
      </c>
      <c r="Q16" s="843">
        <v>10</v>
      </c>
      <c r="R16" s="164">
        <v>19965000</v>
      </c>
      <c r="S16" s="843">
        <v>10</v>
      </c>
      <c r="T16" s="164">
        <v>21961500</v>
      </c>
      <c r="U16" s="843">
        <v>10</v>
      </c>
      <c r="V16" s="164">
        <v>21961500</v>
      </c>
      <c r="W16" s="842">
        <v>40</v>
      </c>
      <c r="X16" s="164"/>
      <c r="Y16" s="837" t="s">
        <v>1535</v>
      </c>
    </row>
    <row r="17" spans="2:25" ht="38.25" x14ac:dyDescent="0.25">
      <c r="B17" s="229"/>
      <c r="C17" s="674"/>
      <c r="D17" s="674"/>
      <c r="E17" s="674"/>
      <c r="F17" s="674"/>
      <c r="G17" s="670"/>
      <c r="H17" s="173" t="s">
        <v>1862</v>
      </c>
      <c r="I17" s="165" t="s">
        <v>1539</v>
      </c>
      <c r="J17" s="843"/>
      <c r="K17" s="843">
        <v>16</v>
      </c>
      <c r="L17" s="164">
        <v>16467906</v>
      </c>
      <c r="M17" s="843">
        <v>17</v>
      </c>
      <c r="N17" s="164">
        <v>17000000</v>
      </c>
      <c r="O17" s="843">
        <v>18</v>
      </c>
      <c r="P17" s="164">
        <v>18000000</v>
      </c>
      <c r="Q17" s="843">
        <v>19</v>
      </c>
      <c r="R17" s="164">
        <v>19000000</v>
      </c>
      <c r="S17" s="843">
        <v>20</v>
      </c>
      <c r="T17" s="164">
        <v>20000000</v>
      </c>
      <c r="U17" s="843">
        <v>20</v>
      </c>
      <c r="V17" s="164">
        <v>20000000</v>
      </c>
      <c r="W17" s="842">
        <v>90</v>
      </c>
      <c r="X17" s="164"/>
      <c r="Y17" s="837" t="s">
        <v>1535</v>
      </c>
    </row>
    <row r="18" spans="2:25" ht="38.25" x14ac:dyDescent="0.25">
      <c r="B18" s="229"/>
      <c r="C18" s="674"/>
      <c r="D18" s="674"/>
      <c r="E18" s="674"/>
      <c r="F18" s="674"/>
      <c r="G18" s="173" t="s">
        <v>1863</v>
      </c>
      <c r="H18" s="173" t="s">
        <v>1540</v>
      </c>
      <c r="I18" s="165" t="s">
        <v>75</v>
      </c>
      <c r="J18" s="832">
        <v>12</v>
      </c>
      <c r="K18" s="706">
        <v>0</v>
      </c>
      <c r="L18" s="841">
        <v>0</v>
      </c>
      <c r="M18" s="706">
        <v>3</v>
      </c>
      <c r="N18" s="841">
        <v>10500000</v>
      </c>
      <c r="O18" s="706">
        <v>3</v>
      </c>
      <c r="P18" s="841">
        <v>12000000</v>
      </c>
      <c r="Q18" s="706">
        <v>3</v>
      </c>
      <c r="R18" s="841">
        <v>12000000</v>
      </c>
      <c r="S18" s="706">
        <v>3</v>
      </c>
      <c r="T18" s="841">
        <v>12000000</v>
      </c>
      <c r="U18" s="706">
        <v>3</v>
      </c>
      <c r="V18" s="841">
        <v>12000000</v>
      </c>
      <c r="W18" s="842">
        <v>12</v>
      </c>
      <c r="X18" s="164"/>
      <c r="Y18" s="837" t="s">
        <v>1535</v>
      </c>
    </row>
    <row r="19" spans="2:25" ht="60" x14ac:dyDescent="0.25">
      <c r="B19" s="229"/>
      <c r="C19" s="674"/>
      <c r="D19" s="674"/>
      <c r="E19" s="674"/>
      <c r="F19" s="170"/>
      <c r="G19" s="978" t="s">
        <v>1541</v>
      </c>
      <c r="H19" s="685" t="s">
        <v>3213</v>
      </c>
      <c r="I19" s="669" t="s">
        <v>19</v>
      </c>
      <c r="J19" s="707">
        <v>52.58</v>
      </c>
      <c r="K19" s="707">
        <v>58.75</v>
      </c>
      <c r="L19" s="834">
        <f>SUM(L21:L25)</f>
        <v>2475000</v>
      </c>
      <c r="M19" s="934">
        <v>61.68</v>
      </c>
      <c r="N19" s="834">
        <f>SUM(N21:N25)</f>
        <v>18275000</v>
      </c>
      <c r="O19" s="934">
        <v>64.77</v>
      </c>
      <c r="P19" s="834">
        <f>SUM(P21:P25)</f>
        <v>19825000</v>
      </c>
      <c r="Q19" s="934">
        <v>67.849999999999994</v>
      </c>
      <c r="R19" s="834">
        <f>SUM(R21:R25)</f>
        <v>21375000</v>
      </c>
      <c r="S19" s="934">
        <v>70.94</v>
      </c>
      <c r="T19" s="834">
        <f>SUM(T21:T25)</f>
        <v>22925000</v>
      </c>
      <c r="U19" s="934">
        <v>70.94</v>
      </c>
      <c r="V19" s="834">
        <f>SUM(V21:V25)</f>
        <v>22925000</v>
      </c>
      <c r="W19" s="935">
        <v>70.94</v>
      </c>
      <c r="X19" s="975"/>
      <c r="Y19" s="837" t="s">
        <v>1535</v>
      </c>
    </row>
    <row r="20" spans="2:25" ht="60" x14ac:dyDescent="0.25">
      <c r="B20" s="229"/>
      <c r="C20" s="674"/>
      <c r="D20" s="674"/>
      <c r="E20" s="674"/>
      <c r="F20" s="170"/>
      <c r="G20" s="180"/>
      <c r="H20" s="685" t="s">
        <v>1536</v>
      </c>
      <c r="I20" s="669" t="s">
        <v>75</v>
      </c>
      <c r="J20" s="836">
        <v>355</v>
      </c>
      <c r="K20" s="836">
        <v>5</v>
      </c>
      <c r="L20" s="838"/>
      <c r="M20" s="839">
        <v>5</v>
      </c>
      <c r="N20" s="838"/>
      <c r="O20" s="839">
        <v>5</v>
      </c>
      <c r="P20" s="838"/>
      <c r="Q20" s="839">
        <v>5</v>
      </c>
      <c r="R20" s="838"/>
      <c r="S20" s="839">
        <v>5</v>
      </c>
      <c r="T20" s="838"/>
      <c r="U20" s="839">
        <v>5</v>
      </c>
      <c r="V20" s="838"/>
      <c r="W20" s="840">
        <v>380</v>
      </c>
      <c r="X20" s="668"/>
      <c r="Y20" s="837" t="s">
        <v>1535</v>
      </c>
    </row>
    <row r="21" spans="2:25" ht="51" x14ac:dyDescent="0.25">
      <c r="B21" s="229"/>
      <c r="C21" s="674"/>
      <c r="D21" s="674"/>
      <c r="E21" s="674"/>
      <c r="F21" s="674"/>
      <c r="G21" s="173" t="s">
        <v>1864</v>
      </c>
      <c r="H21" s="173" t="s">
        <v>1865</v>
      </c>
      <c r="I21" s="165" t="s">
        <v>79</v>
      </c>
      <c r="J21" s="832"/>
      <c r="K21" s="706">
        <v>46</v>
      </c>
      <c r="L21" s="841">
        <v>2400000</v>
      </c>
      <c r="M21" s="706">
        <v>50</v>
      </c>
      <c r="N21" s="841">
        <v>2500000</v>
      </c>
      <c r="O21" s="706">
        <v>50</v>
      </c>
      <c r="P21" s="841">
        <v>2500000</v>
      </c>
      <c r="Q21" s="706">
        <v>50</v>
      </c>
      <c r="R21" s="841">
        <v>2500000</v>
      </c>
      <c r="S21" s="706">
        <v>50</v>
      </c>
      <c r="T21" s="841">
        <v>2500000</v>
      </c>
      <c r="U21" s="706">
        <v>50</v>
      </c>
      <c r="V21" s="841">
        <v>2500000</v>
      </c>
      <c r="W21" s="842">
        <v>246</v>
      </c>
      <c r="X21" s="164"/>
      <c r="Y21" s="837" t="s">
        <v>1535</v>
      </c>
    </row>
    <row r="22" spans="2:25" ht="25.5" x14ac:dyDescent="0.25">
      <c r="B22" s="229"/>
      <c r="C22" s="674"/>
      <c r="D22" s="674"/>
      <c r="E22" s="674"/>
      <c r="F22" s="674"/>
      <c r="G22" s="173" t="s">
        <v>1866</v>
      </c>
      <c r="H22" s="173" t="s">
        <v>1867</v>
      </c>
      <c r="I22" s="165" t="s">
        <v>1539</v>
      </c>
      <c r="J22" s="832"/>
      <c r="K22" s="706">
        <v>0</v>
      </c>
      <c r="L22" s="841">
        <v>0</v>
      </c>
      <c r="M22" s="706">
        <v>2</v>
      </c>
      <c r="N22" s="841">
        <v>4500000</v>
      </c>
      <c r="O22" s="706">
        <v>2</v>
      </c>
      <c r="P22" s="841">
        <v>5000000</v>
      </c>
      <c r="Q22" s="706">
        <v>2</v>
      </c>
      <c r="R22" s="841">
        <v>5500000</v>
      </c>
      <c r="S22" s="706">
        <v>2</v>
      </c>
      <c r="T22" s="841">
        <v>6000000</v>
      </c>
      <c r="U22" s="706">
        <v>2</v>
      </c>
      <c r="V22" s="841">
        <v>6000000</v>
      </c>
      <c r="W22" s="842">
        <v>8</v>
      </c>
      <c r="X22" s="164"/>
      <c r="Y22" s="837" t="s">
        <v>1535</v>
      </c>
    </row>
    <row r="23" spans="2:25" ht="51" x14ac:dyDescent="0.25">
      <c r="B23" s="229"/>
      <c r="C23" s="674"/>
      <c r="D23" s="674"/>
      <c r="E23" s="674"/>
      <c r="F23" s="674"/>
      <c r="G23" s="173" t="s">
        <v>1868</v>
      </c>
      <c r="H23" s="173" t="s">
        <v>1869</v>
      </c>
      <c r="I23" s="165" t="s">
        <v>79</v>
      </c>
      <c r="J23" s="832"/>
      <c r="K23" s="706">
        <v>0</v>
      </c>
      <c r="L23" s="841">
        <v>0</v>
      </c>
      <c r="M23" s="706">
        <v>2</v>
      </c>
      <c r="N23" s="841">
        <v>200000</v>
      </c>
      <c r="O23" s="706">
        <v>2</v>
      </c>
      <c r="P23" s="841">
        <v>250000</v>
      </c>
      <c r="Q23" s="706">
        <v>2</v>
      </c>
      <c r="R23" s="841">
        <v>300000</v>
      </c>
      <c r="S23" s="706">
        <v>2</v>
      </c>
      <c r="T23" s="841">
        <v>350000</v>
      </c>
      <c r="U23" s="706">
        <v>2</v>
      </c>
      <c r="V23" s="841">
        <v>350000</v>
      </c>
      <c r="W23" s="842">
        <v>8</v>
      </c>
      <c r="X23" s="164"/>
      <c r="Y23" s="837" t="s">
        <v>1535</v>
      </c>
    </row>
    <row r="24" spans="2:25" ht="25.5" x14ac:dyDescent="0.25">
      <c r="B24" s="229"/>
      <c r="C24" s="674"/>
      <c r="D24" s="674"/>
      <c r="E24" s="674"/>
      <c r="F24" s="674"/>
      <c r="G24" s="173" t="s">
        <v>1870</v>
      </c>
      <c r="H24" s="173" t="s">
        <v>1871</v>
      </c>
      <c r="I24" s="165" t="s">
        <v>75</v>
      </c>
      <c r="J24" s="832"/>
      <c r="K24" s="706">
        <v>0</v>
      </c>
      <c r="L24" s="841">
        <v>0</v>
      </c>
      <c r="M24" s="706">
        <v>1</v>
      </c>
      <c r="N24" s="841">
        <v>11000000</v>
      </c>
      <c r="O24" s="706">
        <v>1</v>
      </c>
      <c r="P24" s="841">
        <v>12000000</v>
      </c>
      <c r="Q24" s="706">
        <v>1</v>
      </c>
      <c r="R24" s="841">
        <v>13000000</v>
      </c>
      <c r="S24" s="706">
        <v>1</v>
      </c>
      <c r="T24" s="841">
        <v>14000000</v>
      </c>
      <c r="U24" s="706">
        <v>1</v>
      </c>
      <c r="V24" s="841">
        <v>14000000</v>
      </c>
      <c r="W24" s="842">
        <v>4</v>
      </c>
      <c r="X24" s="164"/>
      <c r="Y24" s="837" t="s">
        <v>1535</v>
      </c>
    </row>
    <row r="25" spans="2:25" ht="38.25" x14ac:dyDescent="0.25">
      <c r="B25" s="229"/>
      <c r="C25" s="674"/>
      <c r="D25" s="674"/>
      <c r="E25" s="674"/>
      <c r="F25" s="674"/>
      <c r="G25" s="173" t="s">
        <v>1872</v>
      </c>
      <c r="H25" s="173" t="s">
        <v>1873</v>
      </c>
      <c r="I25" s="165" t="s">
        <v>40</v>
      </c>
      <c r="J25" s="832"/>
      <c r="K25" s="706">
        <v>12</v>
      </c>
      <c r="L25" s="841">
        <v>75000</v>
      </c>
      <c r="M25" s="706">
        <v>12</v>
      </c>
      <c r="N25" s="841">
        <v>75000</v>
      </c>
      <c r="O25" s="706">
        <v>12</v>
      </c>
      <c r="P25" s="841">
        <v>75000</v>
      </c>
      <c r="Q25" s="706">
        <v>12</v>
      </c>
      <c r="R25" s="841">
        <v>75000</v>
      </c>
      <c r="S25" s="706">
        <v>12</v>
      </c>
      <c r="T25" s="841">
        <v>75000</v>
      </c>
      <c r="U25" s="706">
        <v>12</v>
      </c>
      <c r="V25" s="841">
        <v>75000</v>
      </c>
      <c r="W25" s="842">
        <v>60</v>
      </c>
      <c r="X25" s="164"/>
      <c r="Y25" s="837" t="s">
        <v>1535</v>
      </c>
    </row>
    <row r="26" spans="2:25" ht="60" x14ac:dyDescent="0.25">
      <c r="B26" s="229"/>
      <c r="C26" s="674"/>
      <c r="D26" s="674"/>
      <c r="E26" s="674"/>
      <c r="F26" s="170"/>
      <c r="G26" s="978" t="s">
        <v>1542</v>
      </c>
      <c r="H26" s="685" t="s">
        <v>3213</v>
      </c>
      <c r="I26" s="669" t="s">
        <v>19</v>
      </c>
      <c r="J26" s="707">
        <v>52.58</v>
      </c>
      <c r="K26" s="707">
        <v>58.75</v>
      </c>
      <c r="L26" s="936">
        <f>SUM(L28:L33)</f>
        <v>129835061</v>
      </c>
      <c r="M26" s="934">
        <v>61.68</v>
      </c>
      <c r="N26" s="936">
        <f>SUM(N28:N33)</f>
        <v>135250000</v>
      </c>
      <c r="O26" s="934">
        <v>64.77</v>
      </c>
      <c r="P26" s="936">
        <f>SUM(P28:P33)</f>
        <v>139450000</v>
      </c>
      <c r="Q26" s="934">
        <v>67.849999999999994</v>
      </c>
      <c r="R26" s="936">
        <f>SUM(R28:R33)</f>
        <v>143815000</v>
      </c>
      <c r="S26" s="934">
        <v>70.94</v>
      </c>
      <c r="T26" s="936">
        <f>SUM(T28:T33)</f>
        <v>143900000</v>
      </c>
      <c r="U26" s="934">
        <v>70.94</v>
      </c>
      <c r="V26" s="936">
        <f>SUM(V28:V33)</f>
        <v>143900000</v>
      </c>
      <c r="W26" s="935">
        <v>70.94</v>
      </c>
      <c r="X26" s="979"/>
      <c r="Y26" s="837" t="s">
        <v>1535</v>
      </c>
    </row>
    <row r="27" spans="2:25" ht="60" x14ac:dyDescent="0.25">
      <c r="B27" s="229"/>
      <c r="C27" s="674"/>
      <c r="D27" s="674"/>
      <c r="E27" s="674"/>
      <c r="F27" s="170"/>
      <c r="G27" s="180"/>
      <c r="H27" s="685" t="s">
        <v>1536</v>
      </c>
      <c r="I27" s="669" t="s">
        <v>75</v>
      </c>
      <c r="J27" s="836">
        <v>355</v>
      </c>
      <c r="K27" s="836">
        <v>5</v>
      </c>
      <c r="L27" s="838"/>
      <c r="M27" s="839">
        <v>5</v>
      </c>
      <c r="N27" s="838"/>
      <c r="O27" s="839">
        <v>5</v>
      </c>
      <c r="P27" s="838"/>
      <c r="Q27" s="839">
        <v>5</v>
      </c>
      <c r="R27" s="838"/>
      <c r="S27" s="839">
        <v>5</v>
      </c>
      <c r="T27" s="838"/>
      <c r="U27" s="839">
        <v>5</v>
      </c>
      <c r="V27" s="838"/>
      <c r="W27" s="840">
        <v>380</v>
      </c>
      <c r="X27" s="845"/>
      <c r="Y27" s="837" t="s">
        <v>1535</v>
      </c>
    </row>
    <row r="28" spans="2:25" ht="51" x14ac:dyDescent="0.25">
      <c r="B28" s="229"/>
      <c r="C28" s="674"/>
      <c r="D28" s="674"/>
      <c r="E28" s="674"/>
      <c r="F28" s="674"/>
      <c r="G28" s="173" t="s">
        <v>1874</v>
      </c>
      <c r="H28" s="173" t="s">
        <v>1865</v>
      </c>
      <c r="I28" s="165" t="s">
        <v>79</v>
      </c>
      <c r="J28" s="832"/>
      <c r="K28" s="706">
        <v>12</v>
      </c>
      <c r="L28" s="841">
        <v>730000</v>
      </c>
      <c r="M28" s="706">
        <v>15</v>
      </c>
      <c r="N28" s="841">
        <v>750000</v>
      </c>
      <c r="O28" s="706">
        <v>15</v>
      </c>
      <c r="P28" s="841">
        <v>750000</v>
      </c>
      <c r="Q28" s="706">
        <v>15</v>
      </c>
      <c r="R28" s="841">
        <v>750000</v>
      </c>
      <c r="S28" s="706">
        <v>15</v>
      </c>
      <c r="T28" s="841">
        <v>750000</v>
      </c>
      <c r="U28" s="706">
        <v>15</v>
      </c>
      <c r="V28" s="841">
        <v>750000</v>
      </c>
      <c r="W28" s="842">
        <v>72</v>
      </c>
      <c r="X28" s="164"/>
      <c r="Y28" s="837" t="s">
        <v>1535</v>
      </c>
    </row>
    <row r="29" spans="2:25" ht="51" x14ac:dyDescent="0.25">
      <c r="B29" s="229"/>
      <c r="C29" s="674"/>
      <c r="D29" s="674"/>
      <c r="E29" s="674"/>
      <c r="F29" s="674"/>
      <c r="G29" s="173" t="s">
        <v>1875</v>
      </c>
      <c r="H29" s="173" t="s">
        <v>1876</v>
      </c>
      <c r="I29" s="165" t="s">
        <v>79</v>
      </c>
      <c r="J29" s="832"/>
      <c r="K29" s="706">
        <v>0</v>
      </c>
      <c r="L29" s="841">
        <v>0</v>
      </c>
      <c r="M29" s="706">
        <v>3</v>
      </c>
      <c r="N29" s="841">
        <v>250000</v>
      </c>
      <c r="O29" s="706">
        <v>3</v>
      </c>
      <c r="P29" s="841">
        <v>300000</v>
      </c>
      <c r="Q29" s="706">
        <v>3</v>
      </c>
      <c r="R29" s="841">
        <v>350000</v>
      </c>
      <c r="S29" s="706">
        <v>3</v>
      </c>
      <c r="T29" s="841">
        <v>400000</v>
      </c>
      <c r="U29" s="706">
        <v>3</v>
      </c>
      <c r="V29" s="841">
        <v>400000</v>
      </c>
      <c r="W29" s="842">
        <v>12</v>
      </c>
      <c r="X29" s="164"/>
      <c r="Y29" s="837" t="s">
        <v>1535</v>
      </c>
    </row>
    <row r="30" spans="2:25" ht="25.5" x14ac:dyDescent="0.25">
      <c r="B30" s="229"/>
      <c r="C30" s="674"/>
      <c r="D30" s="674"/>
      <c r="E30" s="674"/>
      <c r="F30" s="674"/>
      <c r="G30" s="173" t="s">
        <v>1877</v>
      </c>
      <c r="H30" s="173" t="s">
        <v>1543</v>
      </c>
      <c r="I30" s="165" t="s">
        <v>1878</v>
      </c>
      <c r="J30" s="832"/>
      <c r="K30" s="706">
        <v>3</v>
      </c>
      <c r="L30" s="841">
        <v>15000000</v>
      </c>
      <c r="M30" s="706">
        <v>15</v>
      </c>
      <c r="N30" s="841">
        <v>16500000</v>
      </c>
      <c r="O30" s="706">
        <v>15</v>
      </c>
      <c r="P30" s="841">
        <v>18150000</v>
      </c>
      <c r="Q30" s="706">
        <v>15</v>
      </c>
      <c r="R30" s="841">
        <v>19965000</v>
      </c>
      <c r="S30" s="706">
        <v>15</v>
      </c>
      <c r="T30" s="841">
        <v>16500000</v>
      </c>
      <c r="U30" s="706">
        <v>15</v>
      </c>
      <c r="V30" s="841">
        <v>16500000</v>
      </c>
      <c r="W30" s="842">
        <v>63</v>
      </c>
      <c r="X30" s="164"/>
      <c r="Y30" s="837" t="s">
        <v>1535</v>
      </c>
    </row>
    <row r="31" spans="2:25" ht="38.25" x14ac:dyDescent="0.25">
      <c r="B31" s="229"/>
      <c r="C31" s="674"/>
      <c r="D31" s="674"/>
      <c r="E31" s="674"/>
      <c r="F31" s="674"/>
      <c r="G31" s="173" t="s">
        <v>1879</v>
      </c>
      <c r="H31" s="173" t="s">
        <v>1880</v>
      </c>
      <c r="I31" s="165" t="s">
        <v>75</v>
      </c>
      <c r="J31" s="832"/>
      <c r="K31" s="706">
        <v>0</v>
      </c>
      <c r="L31" s="841">
        <v>0</v>
      </c>
      <c r="M31" s="706">
        <v>3</v>
      </c>
      <c r="N31" s="841">
        <v>1500000</v>
      </c>
      <c r="O31" s="706">
        <v>3</v>
      </c>
      <c r="P31" s="841">
        <v>1750000</v>
      </c>
      <c r="Q31" s="706">
        <v>3</v>
      </c>
      <c r="R31" s="841">
        <v>2000000</v>
      </c>
      <c r="S31" s="706">
        <v>3</v>
      </c>
      <c r="T31" s="841">
        <v>2250000</v>
      </c>
      <c r="U31" s="706">
        <v>3</v>
      </c>
      <c r="V31" s="841">
        <v>2250000</v>
      </c>
      <c r="W31" s="842">
        <v>12</v>
      </c>
      <c r="X31" s="164"/>
      <c r="Y31" s="837" t="s">
        <v>1535</v>
      </c>
    </row>
    <row r="32" spans="2:25" ht="38.25" x14ac:dyDescent="0.25">
      <c r="B32" s="229"/>
      <c r="C32" s="674"/>
      <c r="D32" s="674"/>
      <c r="E32" s="674"/>
      <c r="F32" s="674"/>
      <c r="G32" s="173" t="s">
        <v>1881</v>
      </c>
      <c r="H32" s="173" t="s">
        <v>1882</v>
      </c>
      <c r="I32" s="165" t="s">
        <v>1883</v>
      </c>
      <c r="J32" s="832"/>
      <c r="K32" s="843">
        <v>31567</v>
      </c>
      <c r="L32" s="164">
        <v>3000000</v>
      </c>
      <c r="M32" s="843">
        <v>30000</v>
      </c>
      <c r="N32" s="164">
        <v>3250000</v>
      </c>
      <c r="O32" s="843">
        <v>30000</v>
      </c>
      <c r="P32" s="164">
        <v>3500000</v>
      </c>
      <c r="Q32" s="843">
        <v>30000</v>
      </c>
      <c r="R32" s="164">
        <v>3750000</v>
      </c>
      <c r="S32" s="843">
        <v>30000</v>
      </c>
      <c r="T32" s="164">
        <v>4000000</v>
      </c>
      <c r="U32" s="843">
        <v>30000</v>
      </c>
      <c r="V32" s="164">
        <v>4000000</v>
      </c>
      <c r="W32" s="842">
        <v>151567</v>
      </c>
      <c r="X32" s="164"/>
      <c r="Y32" s="837" t="s">
        <v>1535</v>
      </c>
    </row>
    <row r="33" spans="2:25" ht="25.5" x14ac:dyDescent="0.25">
      <c r="B33" s="229"/>
      <c r="C33" s="674"/>
      <c r="D33" s="674"/>
      <c r="E33" s="674"/>
      <c r="F33" s="674"/>
      <c r="G33" s="173" t="s">
        <v>1884</v>
      </c>
      <c r="H33" s="173" t="s">
        <v>1885</v>
      </c>
      <c r="I33" s="165" t="s">
        <v>1539</v>
      </c>
      <c r="J33" s="832"/>
      <c r="K33" s="706">
        <v>66</v>
      </c>
      <c r="L33" s="841">
        <v>111105061</v>
      </c>
      <c r="M33" s="706">
        <v>66</v>
      </c>
      <c r="N33" s="841">
        <v>113000000</v>
      </c>
      <c r="O33" s="706">
        <v>66</v>
      </c>
      <c r="P33" s="841">
        <v>115000000</v>
      </c>
      <c r="Q33" s="706">
        <v>66</v>
      </c>
      <c r="R33" s="841">
        <v>117000000</v>
      </c>
      <c r="S33" s="706">
        <v>66</v>
      </c>
      <c r="T33" s="841">
        <v>120000000</v>
      </c>
      <c r="U33" s="706">
        <v>66</v>
      </c>
      <c r="V33" s="841">
        <v>120000000</v>
      </c>
      <c r="W33" s="842">
        <v>330</v>
      </c>
      <c r="X33" s="164"/>
      <c r="Y33" s="837" t="s">
        <v>1535</v>
      </c>
    </row>
    <row r="34" spans="2:25" ht="60" x14ac:dyDescent="0.25">
      <c r="B34" s="229"/>
      <c r="C34" s="674"/>
      <c r="D34" s="674"/>
      <c r="E34" s="674"/>
      <c r="F34" s="170"/>
      <c r="G34" s="172" t="s">
        <v>1544</v>
      </c>
      <c r="H34" s="685" t="s">
        <v>3213</v>
      </c>
      <c r="I34" s="669" t="s">
        <v>19</v>
      </c>
      <c r="J34" s="707">
        <v>52.58</v>
      </c>
      <c r="K34" s="707">
        <v>58.75</v>
      </c>
      <c r="L34" s="936">
        <f>SUM(L36:L37)</f>
        <v>0</v>
      </c>
      <c r="M34" s="934">
        <v>61.68</v>
      </c>
      <c r="N34" s="936">
        <f>SUM(N36:N37)</f>
        <v>100000</v>
      </c>
      <c r="O34" s="934">
        <v>64.77</v>
      </c>
      <c r="P34" s="936">
        <f>SUM(P36:P37)</f>
        <v>100000</v>
      </c>
      <c r="Q34" s="934">
        <v>67.849999999999994</v>
      </c>
      <c r="R34" s="936">
        <f>SUM(R36:R37)</f>
        <v>100000</v>
      </c>
      <c r="S34" s="934">
        <v>70.94</v>
      </c>
      <c r="T34" s="936">
        <f>SUM(T36:T37)</f>
        <v>100000</v>
      </c>
      <c r="U34" s="934">
        <v>70.94</v>
      </c>
      <c r="V34" s="936">
        <f>SUM(V36:V37)</f>
        <v>100000</v>
      </c>
      <c r="W34" s="935">
        <v>70.94</v>
      </c>
      <c r="X34" s="668"/>
      <c r="Y34" s="837" t="s">
        <v>1535</v>
      </c>
    </row>
    <row r="35" spans="2:25" ht="60" x14ac:dyDescent="0.25">
      <c r="B35" s="229"/>
      <c r="C35" s="674"/>
      <c r="D35" s="674"/>
      <c r="E35" s="674"/>
      <c r="F35" s="170"/>
      <c r="G35" s="171"/>
      <c r="H35" s="685" t="s">
        <v>1536</v>
      </c>
      <c r="I35" s="669" t="s">
        <v>75</v>
      </c>
      <c r="J35" s="836">
        <v>355</v>
      </c>
      <c r="K35" s="836">
        <v>5</v>
      </c>
      <c r="L35" s="838"/>
      <c r="M35" s="839">
        <v>5</v>
      </c>
      <c r="N35" s="838"/>
      <c r="O35" s="839">
        <v>5</v>
      </c>
      <c r="P35" s="838"/>
      <c r="Q35" s="839">
        <v>5</v>
      </c>
      <c r="R35" s="838"/>
      <c r="S35" s="839">
        <v>5</v>
      </c>
      <c r="T35" s="838"/>
      <c r="U35" s="839">
        <v>5</v>
      </c>
      <c r="V35" s="838"/>
      <c r="W35" s="840">
        <v>380</v>
      </c>
      <c r="X35" s="668"/>
      <c r="Y35" s="837" t="s">
        <v>1535</v>
      </c>
    </row>
    <row r="36" spans="2:25" ht="38.25" x14ac:dyDescent="0.25">
      <c r="B36" s="229"/>
      <c r="C36" s="674"/>
      <c r="D36" s="674"/>
      <c r="E36" s="674"/>
      <c r="F36" s="674"/>
      <c r="G36" s="173" t="s">
        <v>1886</v>
      </c>
      <c r="H36" s="173" t="s">
        <v>1887</v>
      </c>
      <c r="I36" s="165" t="s">
        <v>1539</v>
      </c>
      <c r="J36" s="832"/>
      <c r="K36" s="843">
        <v>0</v>
      </c>
      <c r="L36" s="164">
        <v>0</v>
      </c>
      <c r="M36" s="706">
        <v>100</v>
      </c>
      <c r="N36" s="841">
        <v>50000</v>
      </c>
      <c r="O36" s="706">
        <v>100</v>
      </c>
      <c r="P36" s="841">
        <v>50000</v>
      </c>
      <c r="Q36" s="706">
        <v>100</v>
      </c>
      <c r="R36" s="841">
        <v>50000</v>
      </c>
      <c r="S36" s="706">
        <v>100</v>
      </c>
      <c r="T36" s="841">
        <v>50000</v>
      </c>
      <c r="U36" s="706">
        <v>100</v>
      </c>
      <c r="V36" s="841">
        <v>50000</v>
      </c>
      <c r="W36" s="842">
        <v>100</v>
      </c>
      <c r="X36" s="164"/>
      <c r="Y36" s="837" t="s">
        <v>1535</v>
      </c>
    </row>
    <row r="37" spans="2:25" ht="51" x14ac:dyDescent="0.25">
      <c r="B37" s="229"/>
      <c r="C37" s="674"/>
      <c r="D37" s="674"/>
      <c r="E37" s="674"/>
      <c r="F37" s="674"/>
      <c r="G37" s="173" t="s">
        <v>1888</v>
      </c>
      <c r="H37" s="173" t="s">
        <v>1889</v>
      </c>
      <c r="I37" s="165" t="s">
        <v>75</v>
      </c>
      <c r="J37" s="832"/>
      <c r="K37" s="843">
        <v>0</v>
      </c>
      <c r="L37" s="164">
        <v>0</v>
      </c>
      <c r="M37" s="706">
        <v>50</v>
      </c>
      <c r="N37" s="841">
        <v>50000</v>
      </c>
      <c r="O37" s="706">
        <v>50</v>
      </c>
      <c r="P37" s="841">
        <v>50000</v>
      </c>
      <c r="Q37" s="706">
        <v>50</v>
      </c>
      <c r="R37" s="841">
        <v>50000</v>
      </c>
      <c r="S37" s="706">
        <v>50</v>
      </c>
      <c r="T37" s="841">
        <v>50000</v>
      </c>
      <c r="U37" s="706">
        <v>50</v>
      </c>
      <c r="V37" s="841">
        <v>50000</v>
      </c>
      <c r="W37" s="842">
        <v>200</v>
      </c>
      <c r="X37" s="164"/>
      <c r="Y37" s="837" t="s">
        <v>1535</v>
      </c>
    </row>
    <row r="38" spans="2:25" ht="60" x14ac:dyDescent="0.25">
      <c r="B38" s="229"/>
      <c r="C38" s="674"/>
      <c r="D38" s="674"/>
      <c r="E38" s="674"/>
      <c r="F38" s="170"/>
      <c r="G38" s="172" t="s">
        <v>1545</v>
      </c>
      <c r="H38" s="685" t="s">
        <v>3213</v>
      </c>
      <c r="I38" s="669" t="s">
        <v>19</v>
      </c>
      <c r="J38" s="707">
        <v>52.58</v>
      </c>
      <c r="K38" s="707">
        <v>58.75</v>
      </c>
      <c r="L38" s="936">
        <f>SUM(L40:L41)</f>
        <v>0</v>
      </c>
      <c r="M38" s="934">
        <v>61.68</v>
      </c>
      <c r="N38" s="936">
        <f>SUM(N40:N41)</f>
        <v>750750</v>
      </c>
      <c r="O38" s="934">
        <v>64.77</v>
      </c>
      <c r="P38" s="936">
        <f>SUM(P40:P41)</f>
        <v>825825</v>
      </c>
      <c r="Q38" s="934">
        <v>67.849999999999994</v>
      </c>
      <c r="R38" s="936">
        <f>SUM(R40:R41)</f>
        <v>908407</v>
      </c>
      <c r="S38" s="934">
        <v>70.94</v>
      </c>
      <c r="T38" s="936">
        <f>SUM(T40:T41)</f>
        <v>999247</v>
      </c>
      <c r="U38" s="934">
        <v>70.94</v>
      </c>
      <c r="V38" s="936">
        <f>SUM(V40:V41)</f>
        <v>999247</v>
      </c>
      <c r="W38" s="935">
        <v>70.94</v>
      </c>
      <c r="X38" s="668"/>
      <c r="Y38" s="837" t="s">
        <v>1535</v>
      </c>
    </row>
    <row r="39" spans="2:25" ht="60" x14ac:dyDescent="0.25">
      <c r="B39" s="229"/>
      <c r="C39" s="674"/>
      <c r="D39" s="674"/>
      <c r="E39" s="674"/>
      <c r="F39" s="170"/>
      <c r="G39" s="171"/>
      <c r="H39" s="685" t="s">
        <v>1536</v>
      </c>
      <c r="I39" s="669" t="s">
        <v>75</v>
      </c>
      <c r="J39" s="836">
        <v>355</v>
      </c>
      <c r="K39" s="836">
        <v>5</v>
      </c>
      <c r="L39" s="838"/>
      <c r="M39" s="839">
        <v>5</v>
      </c>
      <c r="N39" s="838"/>
      <c r="O39" s="839">
        <v>5</v>
      </c>
      <c r="P39" s="838"/>
      <c r="Q39" s="839">
        <v>5</v>
      </c>
      <c r="R39" s="838"/>
      <c r="S39" s="839">
        <v>5</v>
      </c>
      <c r="T39" s="838"/>
      <c r="U39" s="839">
        <v>5</v>
      </c>
      <c r="V39" s="838"/>
      <c r="W39" s="840">
        <v>380</v>
      </c>
      <c r="X39" s="668"/>
      <c r="Y39" s="837" t="s">
        <v>1535</v>
      </c>
    </row>
    <row r="40" spans="2:25" ht="51" x14ac:dyDescent="0.25">
      <c r="B40" s="229"/>
      <c r="C40" s="674"/>
      <c r="D40" s="674"/>
      <c r="E40" s="674"/>
      <c r="F40" s="674"/>
      <c r="G40" s="173" t="s">
        <v>1890</v>
      </c>
      <c r="H40" s="173" t="s">
        <v>1891</v>
      </c>
      <c r="I40" s="165" t="s">
        <v>1539</v>
      </c>
      <c r="J40" s="832"/>
      <c r="K40" s="706"/>
      <c r="L40" s="841">
        <v>0</v>
      </c>
      <c r="M40" s="706">
        <v>1</v>
      </c>
      <c r="N40" s="841">
        <v>577500</v>
      </c>
      <c r="O40" s="706">
        <v>1</v>
      </c>
      <c r="P40" s="841">
        <v>635250</v>
      </c>
      <c r="Q40" s="706">
        <v>1</v>
      </c>
      <c r="R40" s="841">
        <v>698775</v>
      </c>
      <c r="S40" s="706">
        <v>1</v>
      </c>
      <c r="T40" s="841">
        <v>768652</v>
      </c>
      <c r="U40" s="706">
        <v>1</v>
      </c>
      <c r="V40" s="841">
        <v>768652</v>
      </c>
      <c r="W40" s="842">
        <v>4</v>
      </c>
      <c r="X40" s="164"/>
      <c r="Y40" s="837" t="s">
        <v>1535</v>
      </c>
    </row>
    <row r="41" spans="2:25" ht="51" x14ac:dyDescent="0.25">
      <c r="B41" s="229"/>
      <c r="C41" s="674"/>
      <c r="D41" s="674"/>
      <c r="E41" s="674"/>
      <c r="F41" s="674"/>
      <c r="G41" s="173" t="s">
        <v>1892</v>
      </c>
      <c r="H41" s="173" t="s">
        <v>1891</v>
      </c>
      <c r="I41" s="165" t="s">
        <v>75</v>
      </c>
      <c r="J41" s="832"/>
      <c r="K41" s="706"/>
      <c r="L41" s="841">
        <v>0</v>
      </c>
      <c r="M41" s="706">
        <v>3</v>
      </c>
      <c r="N41" s="841">
        <v>173250</v>
      </c>
      <c r="O41" s="706">
        <v>3</v>
      </c>
      <c r="P41" s="841">
        <v>190575</v>
      </c>
      <c r="Q41" s="706">
        <v>3</v>
      </c>
      <c r="R41" s="841">
        <v>209632</v>
      </c>
      <c r="S41" s="706">
        <v>3</v>
      </c>
      <c r="T41" s="841">
        <v>230595</v>
      </c>
      <c r="U41" s="706">
        <v>3</v>
      </c>
      <c r="V41" s="841">
        <v>230595</v>
      </c>
      <c r="W41" s="842">
        <v>12</v>
      </c>
      <c r="X41" s="164"/>
      <c r="Y41" s="837" t="s">
        <v>1535</v>
      </c>
    </row>
    <row r="42" spans="2:25" ht="60" x14ac:dyDescent="0.25">
      <c r="B42" s="229"/>
      <c r="C42" s="674"/>
      <c r="D42" s="674"/>
      <c r="E42" s="674"/>
      <c r="F42" s="170"/>
      <c r="G42" s="172" t="s">
        <v>1546</v>
      </c>
      <c r="H42" s="685" t="s">
        <v>3213</v>
      </c>
      <c r="I42" s="669" t="s">
        <v>19</v>
      </c>
      <c r="J42" s="707">
        <v>52.58</v>
      </c>
      <c r="K42" s="707">
        <v>58.75</v>
      </c>
      <c r="L42" s="936">
        <f>SUM(L44:L45)</f>
        <v>0</v>
      </c>
      <c r="M42" s="934">
        <v>61.68</v>
      </c>
      <c r="N42" s="936">
        <f>SUM(N44:N45)</f>
        <v>50000</v>
      </c>
      <c r="O42" s="934">
        <v>64.77</v>
      </c>
      <c r="P42" s="936">
        <f>SUM(P44:P45)</f>
        <v>50000</v>
      </c>
      <c r="Q42" s="934">
        <v>67.849999999999994</v>
      </c>
      <c r="R42" s="936">
        <f>SUM(R44:R45)</f>
        <v>50000</v>
      </c>
      <c r="S42" s="934">
        <v>70.94</v>
      </c>
      <c r="T42" s="936">
        <f>SUM(T44:T45)</f>
        <v>50000</v>
      </c>
      <c r="U42" s="934">
        <v>70.94</v>
      </c>
      <c r="V42" s="936">
        <f>SUM(V44:V45)</f>
        <v>50000</v>
      </c>
      <c r="W42" s="935">
        <v>70.94</v>
      </c>
      <c r="X42" s="668"/>
      <c r="Y42" s="837" t="s">
        <v>1535</v>
      </c>
    </row>
    <row r="43" spans="2:25" ht="60" x14ac:dyDescent="0.25">
      <c r="B43" s="229"/>
      <c r="C43" s="674"/>
      <c r="D43" s="674"/>
      <c r="E43" s="674"/>
      <c r="F43" s="170"/>
      <c r="G43" s="171"/>
      <c r="H43" s="685" t="s">
        <v>1536</v>
      </c>
      <c r="I43" s="669" t="s">
        <v>75</v>
      </c>
      <c r="J43" s="836">
        <v>355</v>
      </c>
      <c r="K43" s="836">
        <v>5</v>
      </c>
      <c r="L43" s="838"/>
      <c r="M43" s="839">
        <v>5</v>
      </c>
      <c r="N43" s="838"/>
      <c r="O43" s="839">
        <v>5</v>
      </c>
      <c r="P43" s="838"/>
      <c r="Q43" s="839">
        <v>5</v>
      </c>
      <c r="R43" s="838"/>
      <c r="S43" s="839">
        <v>5</v>
      </c>
      <c r="T43" s="838"/>
      <c r="U43" s="839">
        <v>5</v>
      </c>
      <c r="V43" s="838"/>
      <c r="W43" s="840">
        <v>380</v>
      </c>
      <c r="X43" s="668"/>
      <c r="Y43" s="837" t="s">
        <v>1535</v>
      </c>
    </row>
    <row r="44" spans="2:25" ht="51" x14ac:dyDescent="0.25">
      <c r="B44" s="229"/>
      <c r="C44" s="674"/>
      <c r="D44" s="674"/>
      <c r="E44" s="674"/>
      <c r="F44" s="674"/>
      <c r="G44" s="173" t="s">
        <v>1893</v>
      </c>
      <c r="H44" s="173" t="s">
        <v>1894</v>
      </c>
      <c r="I44" s="165" t="s">
        <v>69</v>
      </c>
      <c r="J44" s="832"/>
      <c r="K44" s="843"/>
      <c r="L44" s="164">
        <v>0</v>
      </c>
      <c r="M44" s="843">
        <v>0</v>
      </c>
      <c r="N44" s="164">
        <v>0</v>
      </c>
      <c r="O44" s="843">
        <v>1</v>
      </c>
      <c r="P44" s="164">
        <v>50000</v>
      </c>
      <c r="Q44" s="843">
        <v>0</v>
      </c>
      <c r="R44" s="164">
        <v>0</v>
      </c>
      <c r="S44" s="843">
        <v>1</v>
      </c>
      <c r="T44" s="164">
        <v>50000</v>
      </c>
      <c r="U44" s="843">
        <v>1</v>
      </c>
      <c r="V44" s="164">
        <v>50000</v>
      </c>
      <c r="W44" s="842">
        <v>2</v>
      </c>
      <c r="X44" s="164"/>
      <c r="Y44" s="837" t="s">
        <v>1535</v>
      </c>
    </row>
    <row r="45" spans="2:25" ht="63.75" x14ac:dyDescent="0.25">
      <c r="B45" s="229"/>
      <c r="C45" s="674"/>
      <c r="D45" s="674"/>
      <c r="E45" s="674"/>
      <c r="F45" s="674"/>
      <c r="G45" s="173" t="s">
        <v>1895</v>
      </c>
      <c r="H45" s="173" t="s">
        <v>3184</v>
      </c>
      <c r="I45" s="165" t="s">
        <v>69</v>
      </c>
      <c r="J45" s="832"/>
      <c r="K45" s="843">
        <v>0</v>
      </c>
      <c r="L45" s="164">
        <v>0</v>
      </c>
      <c r="M45" s="843">
        <v>1</v>
      </c>
      <c r="N45" s="164">
        <v>50000</v>
      </c>
      <c r="O45" s="843">
        <v>0</v>
      </c>
      <c r="P45" s="164">
        <v>0</v>
      </c>
      <c r="Q45" s="843">
        <v>1</v>
      </c>
      <c r="R45" s="164">
        <v>50000</v>
      </c>
      <c r="S45" s="843">
        <v>0</v>
      </c>
      <c r="T45" s="164">
        <v>0</v>
      </c>
      <c r="U45" s="843">
        <v>0</v>
      </c>
      <c r="V45" s="164">
        <v>0</v>
      </c>
      <c r="W45" s="842">
        <v>2</v>
      </c>
      <c r="X45" s="164"/>
      <c r="Y45" s="837" t="s">
        <v>1535</v>
      </c>
    </row>
    <row r="46" spans="2:25" ht="60" x14ac:dyDescent="0.25">
      <c r="B46" s="229"/>
      <c r="C46" s="674"/>
      <c r="D46" s="674"/>
      <c r="E46" s="674"/>
      <c r="F46" s="170"/>
      <c r="G46" s="172" t="s">
        <v>1547</v>
      </c>
      <c r="H46" s="685" t="s">
        <v>3213</v>
      </c>
      <c r="I46" s="669" t="s">
        <v>19</v>
      </c>
      <c r="J46" s="707">
        <v>52.58</v>
      </c>
      <c r="K46" s="707">
        <v>58.75</v>
      </c>
      <c r="L46" s="936">
        <f>SUM(L48:L51)</f>
        <v>9685000</v>
      </c>
      <c r="M46" s="934">
        <v>61.68</v>
      </c>
      <c r="N46" s="936">
        <f>SUM(N48:N51)</f>
        <v>9700000</v>
      </c>
      <c r="O46" s="934">
        <v>64.77</v>
      </c>
      <c r="P46" s="936">
        <f>SUM(P48:P51)</f>
        <v>9700000</v>
      </c>
      <c r="Q46" s="934">
        <v>67.849999999999994</v>
      </c>
      <c r="R46" s="936">
        <f>SUM(R48:R51)</f>
        <v>9700000</v>
      </c>
      <c r="S46" s="934">
        <v>70.94</v>
      </c>
      <c r="T46" s="936">
        <f>SUM(T48:T51)</f>
        <v>9700000</v>
      </c>
      <c r="U46" s="934">
        <v>70.94</v>
      </c>
      <c r="V46" s="936">
        <f>SUM(V48:V51)</f>
        <v>9700000</v>
      </c>
      <c r="W46" s="935">
        <v>70.94</v>
      </c>
      <c r="X46" s="845"/>
      <c r="Y46" s="837" t="s">
        <v>1535</v>
      </c>
    </row>
    <row r="47" spans="2:25" ht="60" x14ac:dyDescent="0.25">
      <c r="B47" s="229"/>
      <c r="C47" s="674"/>
      <c r="D47" s="674"/>
      <c r="E47" s="674"/>
      <c r="F47" s="170"/>
      <c r="G47" s="171"/>
      <c r="H47" s="685" t="s">
        <v>1536</v>
      </c>
      <c r="I47" s="669" t="s">
        <v>75</v>
      </c>
      <c r="J47" s="836">
        <v>355</v>
      </c>
      <c r="K47" s="836">
        <v>5</v>
      </c>
      <c r="L47" s="838"/>
      <c r="M47" s="839">
        <v>5</v>
      </c>
      <c r="N47" s="838"/>
      <c r="O47" s="839">
        <v>5</v>
      </c>
      <c r="P47" s="838"/>
      <c r="Q47" s="839">
        <v>5</v>
      </c>
      <c r="R47" s="838"/>
      <c r="S47" s="839">
        <v>5</v>
      </c>
      <c r="T47" s="838"/>
      <c r="U47" s="839">
        <v>5</v>
      </c>
      <c r="V47" s="838"/>
      <c r="W47" s="840">
        <v>380</v>
      </c>
      <c r="X47" s="845"/>
      <c r="Y47" s="837" t="s">
        <v>1535</v>
      </c>
    </row>
    <row r="48" spans="2:25" ht="25.5" x14ac:dyDescent="0.25">
      <c r="B48" s="229"/>
      <c r="C48" s="674"/>
      <c r="D48" s="674"/>
      <c r="E48" s="674"/>
      <c r="F48" s="674"/>
      <c r="G48" s="2019" t="s">
        <v>1896</v>
      </c>
      <c r="H48" s="173" t="s">
        <v>1897</v>
      </c>
      <c r="I48" s="165" t="s">
        <v>75</v>
      </c>
      <c r="J48" s="832"/>
      <c r="K48" s="706">
        <v>1</v>
      </c>
      <c r="L48" s="846">
        <v>9300000</v>
      </c>
      <c r="M48" s="706">
        <v>1</v>
      </c>
      <c r="N48" s="846">
        <v>9300000</v>
      </c>
      <c r="O48" s="706">
        <v>1</v>
      </c>
      <c r="P48" s="846">
        <v>9300000</v>
      </c>
      <c r="Q48" s="706">
        <v>1</v>
      </c>
      <c r="R48" s="846">
        <v>9300000</v>
      </c>
      <c r="S48" s="706">
        <v>1</v>
      </c>
      <c r="T48" s="846">
        <v>9300000</v>
      </c>
      <c r="U48" s="706">
        <v>1</v>
      </c>
      <c r="V48" s="846">
        <v>9300000</v>
      </c>
      <c r="W48" s="842">
        <v>5</v>
      </c>
      <c r="X48" s="2039"/>
      <c r="Y48" s="837" t="s">
        <v>1535</v>
      </c>
    </row>
    <row r="49" spans="2:25" x14ac:dyDescent="0.25">
      <c r="B49" s="229"/>
      <c r="C49" s="674"/>
      <c r="D49" s="674"/>
      <c r="E49" s="674"/>
      <c r="F49" s="674"/>
      <c r="G49" s="2019"/>
      <c r="H49" s="173" t="s">
        <v>1898</v>
      </c>
      <c r="I49" s="165" t="s">
        <v>75</v>
      </c>
      <c r="J49" s="832"/>
      <c r="K49" s="706">
        <v>1</v>
      </c>
      <c r="L49" s="847"/>
      <c r="M49" s="706">
        <v>1</v>
      </c>
      <c r="N49" s="847"/>
      <c r="O49" s="706">
        <v>1</v>
      </c>
      <c r="P49" s="847"/>
      <c r="Q49" s="706">
        <v>1</v>
      </c>
      <c r="R49" s="847"/>
      <c r="S49" s="706">
        <v>1</v>
      </c>
      <c r="T49" s="847"/>
      <c r="U49" s="706">
        <v>1</v>
      </c>
      <c r="V49" s="847"/>
      <c r="W49" s="842">
        <v>5</v>
      </c>
      <c r="X49" s="2039"/>
      <c r="Y49" s="837" t="s">
        <v>1535</v>
      </c>
    </row>
    <row r="50" spans="2:25" x14ac:dyDescent="0.25">
      <c r="B50" s="229"/>
      <c r="C50" s="674"/>
      <c r="D50" s="674"/>
      <c r="E50" s="674"/>
      <c r="F50" s="674"/>
      <c r="G50" s="2019"/>
      <c r="H50" s="173" t="s">
        <v>1899</v>
      </c>
      <c r="I50" s="165" t="s">
        <v>75</v>
      </c>
      <c r="J50" s="832"/>
      <c r="K50" s="706">
        <v>1</v>
      </c>
      <c r="L50" s="848"/>
      <c r="M50" s="706">
        <v>1</v>
      </c>
      <c r="N50" s="848"/>
      <c r="O50" s="706">
        <v>1</v>
      </c>
      <c r="P50" s="848"/>
      <c r="Q50" s="706">
        <v>1</v>
      </c>
      <c r="R50" s="848"/>
      <c r="S50" s="706">
        <v>1</v>
      </c>
      <c r="T50" s="848"/>
      <c r="U50" s="706">
        <v>1</v>
      </c>
      <c r="V50" s="848"/>
      <c r="W50" s="842">
        <v>5</v>
      </c>
      <c r="X50" s="2039"/>
      <c r="Y50" s="837" t="s">
        <v>1535</v>
      </c>
    </row>
    <row r="51" spans="2:25" ht="25.5" x14ac:dyDescent="0.25">
      <c r="B51" s="229"/>
      <c r="C51" s="674"/>
      <c r="D51" s="674"/>
      <c r="E51" s="674"/>
      <c r="F51" s="674"/>
      <c r="G51" s="173" t="s">
        <v>1900</v>
      </c>
      <c r="H51" s="173" t="s">
        <v>1901</v>
      </c>
      <c r="I51" s="165" t="s">
        <v>75</v>
      </c>
      <c r="J51" s="832">
        <v>128</v>
      </c>
      <c r="K51" s="706">
        <v>4</v>
      </c>
      <c r="L51" s="841">
        <v>385000</v>
      </c>
      <c r="M51" s="706">
        <v>5</v>
      </c>
      <c r="N51" s="841">
        <v>400000</v>
      </c>
      <c r="O51" s="706">
        <v>5</v>
      </c>
      <c r="P51" s="841">
        <v>400000</v>
      </c>
      <c r="Q51" s="706">
        <v>5</v>
      </c>
      <c r="R51" s="841">
        <v>400000</v>
      </c>
      <c r="S51" s="706">
        <v>5</v>
      </c>
      <c r="T51" s="841">
        <v>400000</v>
      </c>
      <c r="U51" s="706">
        <v>5</v>
      </c>
      <c r="V51" s="841">
        <v>400000</v>
      </c>
      <c r="W51" s="842">
        <v>24</v>
      </c>
      <c r="X51" s="164"/>
      <c r="Y51" s="837" t="s">
        <v>1535</v>
      </c>
    </row>
    <row r="52" spans="2:25" ht="36" x14ac:dyDescent="0.25">
      <c r="B52" s="229"/>
      <c r="C52" s="674"/>
      <c r="D52" s="674"/>
      <c r="E52" s="674"/>
      <c r="F52" s="179"/>
      <c r="G52" s="685" t="s">
        <v>1548</v>
      </c>
      <c r="H52" s="685" t="s">
        <v>1549</v>
      </c>
      <c r="I52" s="686" t="s">
        <v>1413</v>
      </c>
      <c r="J52" s="836">
        <v>10</v>
      </c>
      <c r="K52" s="836">
        <v>10</v>
      </c>
      <c r="L52" s="668">
        <f>SUM(L53:L54)</f>
        <v>2722975</v>
      </c>
      <c r="M52" s="836">
        <v>0</v>
      </c>
      <c r="N52" s="668">
        <f>SUM(N53:N54)</f>
        <v>0</v>
      </c>
      <c r="O52" s="836">
        <v>0</v>
      </c>
      <c r="P52" s="668">
        <f>SUM(P53:P54)</f>
        <v>0</v>
      </c>
      <c r="Q52" s="836">
        <v>0</v>
      </c>
      <c r="R52" s="668">
        <f>SUM(R53:R54)</f>
        <v>0</v>
      </c>
      <c r="S52" s="836">
        <v>0</v>
      </c>
      <c r="T52" s="668">
        <f>SUM(T53:T54)</f>
        <v>0</v>
      </c>
      <c r="U52" s="836">
        <v>0</v>
      </c>
      <c r="V52" s="668">
        <f>SUM(V53:V54)</f>
        <v>0</v>
      </c>
      <c r="W52" s="835">
        <v>10</v>
      </c>
      <c r="X52" s="668"/>
      <c r="Y52" s="837" t="s">
        <v>1535</v>
      </c>
    </row>
    <row r="53" spans="2:25" ht="25.5" x14ac:dyDescent="0.25">
      <c r="B53" s="229"/>
      <c r="C53" s="674"/>
      <c r="D53" s="674"/>
      <c r="E53" s="674"/>
      <c r="F53" s="667"/>
      <c r="G53" s="173" t="s">
        <v>1902</v>
      </c>
      <c r="H53" s="173" t="s">
        <v>1549</v>
      </c>
      <c r="I53" s="165" t="s">
        <v>1413</v>
      </c>
      <c r="J53" s="843">
        <v>5</v>
      </c>
      <c r="K53" s="843">
        <v>5</v>
      </c>
      <c r="L53" s="164">
        <v>1000000</v>
      </c>
      <c r="M53" s="843">
        <v>0</v>
      </c>
      <c r="N53" s="164">
        <v>0</v>
      </c>
      <c r="O53" s="843">
        <v>0</v>
      </c>
      <c r="P53" s="164">
        <v>0</v>
      </c>
      <c r="Q53" s="843">
        <v>0</v>
      </c>
      <c r="R53" s="164">
        <v>0</v>
      </c>
      <c r="S53" s="843">
        <v>0</v>
      </c>
      <c r="T53" s="164">
        <v>0</v>
      </c>
      <c r="U53" s="843">
        <v>0</v>
      </c>
      <c r="V53" s="164">
        <v>0</v>
      </c>
      <c r="W53" s="842">
        <v>5</v>
      </c>
      <c r="X53" s="164"/>
      <c r="Y53" s="837" t="s">
        <v>1535</v>
      </c>
    </row>
    <row r="54" spans="2:25" ht="25.5" x14ac:dyDescent="0.25">
      <c r="B54" s="229"/>
      <c r="C54" s="674"/>
      <c r="D54" s="674"/>
      <c r="E54" s="674"/>
      <c r="F54" s="667"/>
      <c r="G54" s="173" t="s">
        <v>1903</v>
      </c>
      <c r="H54" s="173" t="s">
        <v>1549</v>
      </c>
      <c r="I54" s="165" t="s">
        <v>1413</v>
      </c>
      <c r="J54" s="843">
        <v>5</v>
      </c>
      <c r="K54" s="843">
        <v>5</v>
      </c>
      <c r="L54" s="164">
        <v>1722975</v>
      </c>
      <c r="M54" s="843">
        <v>0</v>
      </c>
      <c r="N54" s="164">
        <v>0</v>
      </c>
      <c r="O54" s="843">
        <v>0</v>
      </c>
      <c r="P54" s="164">
        <v>0</v>
      </c>
      <c r="Q54" s="843">
        <v>0</v>
      </c>
      <c r="R54" s="164">
        <v>0</v>
      </c>
      <c r="S54" s="843">
        <v>0</v>
      </c>
      <c r="T54" s="164">
        <v>0</v>
      </c>
      <c r="U54" s="843">
        <v>0</v>
      </c>
      <c r="V54" s="164">
        <v>0</v>
      </c>
      <c r="W54" s="842">
        <v>5</v>
      </c>
      <c r="X54" s="164"/>
      <c r="Y54" s="837" t="s">
        <v>1535</v>
      </c>
    </row>
    <row r="55" spans="2:25" x14ac:dyDescent="0.25">
      <c r="B55" s="229"/>
      <c r="C55" s="674"/>
      <c r="D55" s="173"/>
      <c r="E55" s="173"/>
      <c r="F55" s="1751"/>
      <c r="G55" s="673"/>
      <c r="H55" s="673"/>
      <c r="I55" s="933"/>
      <c r="J55" s="941"/>
      <c r="K55" s="941"/>
      <c r="L55" s="942"/>
      <c r="M55" s="941"/>
      <c r="N55" s="942"/>
      <c r="O55" s="941"/>
      <c r="P55" s="942"/>
      <c r="Q55" s="941"/>
      <c r="R55" s="942"/>
      <c r="S55" s="941"/>
      <c r="T55" s="942"/>
      <c r="U55" s="941"/>
      <c r="V55" s="942"/>
      <c r="W55" s="1771"/>
      <c r="X55" s="942"/>
      <c r="Y55" s="837"/>
    </row>
    <row r="56" spans="2:25" s="219" customFormat="1" ht="108" x14ac:dyDescent="0.2">
      <c r="B56" s="1769"/>
      <c r="C56" s="170"/>
      <c r="D56" s="685" t="s">
        <v>3979</v>
      </c>
      <c r="E56" s="685" t="s">
        <v>3980</v>
      </c>
      <c r="F56" s="685" t="s">
        <v>1624</v>
      </c>
      <c r="G56" s="976" t="s">
        <v>1624</v>
      </c>
      <c r="H56" s="685"/>
      <c r="I56" s="976" t="s">
        <v>1626</v>
      </c>
      <c r="J56" s="707">
        <v>0</v>
      </c>
      <c r="K56" s="836">
        <v>0</v>
      </c>
      <c r="L56" s="979"/>
      <c r="M56" s="836">
        <v>800</v>
      </c>
      <c r="N56" s="979"/>
      <c r="O56" s="836">
        <v>800</v>
      </c>
      <c r="P56" s="979"/>
      <c r="Q56" s="836">
        <v>800</v>
      </c>
      <c r="R56" s="979"/>
      <c r="S56" s="836">
        <v>800</v>
      </c>
      <c r="T56" s="979"/>
      <c r="U56" s="836">
        <v>800</v>
      </c>
      <c r="V56" s="979"/>
      <c r="W56" s="835">
        <v>3200</v>
      </c>
      <c r="X56" s="979"/>
      <c r="Y56" s="1770" t="s">
        <v>1535</v>
      </c>
    </row>
    <row r="57" spans="2:25" ht="72" x14ac:dyDescent="0.25">
      <c r="B57" s="229"/>
      <c r="C57" s="674"/>
      <c r="D57" s="674"/>
      <c r="E57" s="674"/>
      <c r="F57" s="667"/>
      <c r="G57" s="685" t="s">
        <v>1625</v>
      </c>
      <c r="H57" s="685" t="s">
        <v>1624</v>
      </c>
      <c r="I57" s="686" t="s">
        <v>1626</v>
      </c>
      <c r="J57" s="707">
        <v>0</v>
      </c>
      <c r="K57" s="836">
        <v>0</v>
      </c>
      <c r="L57" s="845">
        <f>SUM(L58:L59)</f>
        <v>0</v>
      </c>
      <c r="M57" s="836">
        <v>800</v>
      </c>
      <c r="N57" s="845">
        <f>SUM(N58:N59)</f>
        <v>651120</v>
      </c>
      <c r="O57" s="836">
        <v>800</v>
      </c>
      <c r="P57" s="845">
        <f>SUM(P58:P59)</f>
        <v>686232</v>
      </c>
      <c r="Q57" s="836">
        <v>800</v>
      </c>
      <c r="R57" s="845">
        <f>SUM(R58:R59)</f>
        <v>724855</v>
      </c>
      <c r="S57" s="836">
        <v>800</v>
      </c>
      <c r="T57" s="845">
        <f>SUM(T58:T59)</f>
        <v>767340</v>
      </c>
      <c r="U57" s="836">
        <v>800</v>
      </c>
      <c r="V57" s="845">
        <f>SUM(V58:V59)</f>
        <v>767340</v>
      </c>
      <c r="W57" s="835">
        <v>3200</v>
      </c>
      <c r="X57" s="845"/>
      <c r="Y57" s="837" t="s">
        <v>1535</v>
      </c>
    </row>
    <row r="58" spans="2:25" ht="76.5" x14ac:dyDescent="0.25">
      <c r="B58" s="229"/>
      <c r="C58" s="674"/>
      <c r="D58" s="674"/>
      <c r="E58" s="674"/>
      <c r="F58" s="667"/>
      <c r="G58" s="173" t="s">
        <v>1957</v>
      </c>
      <c r="H58" s="173" t="s">
        <v>1958</v>
      </c>
      <c r="I58" s="165" t="s">
        <v>257</v>
      </c>
      <c r="J58" s="832"/>
      <c r="K58" s="843">
        <v>0</v>
      </c>
      <c r="L58" s="164">
        <v>0</v>
      </c>
      <c r="M58" s="706">
        <v>5</v>
      </c>
      <c r="N58" s="841">
        <v>300000</v>
      </c>
      <c r="O58" s="706">
        <v>5</v>
      </c>
      <c r="P58" s="841">
        <v>300000</v>
      </c>
      <c r="Q58" s="706">
        <v>5</v>
      </c>
      <c r="R58" s="841">
        <v>300000</v>
      </c>
      <c r="S58" s="706">
        <v>5</v>
      </c>
      <c r="T58" s="841">
        <v>300000</v>
      </c>
      <c r="U58" s="706">
        <v>5</v>
      </c>
      <c r="V58" s="841">
        <v>300000</v>
      </c>
      <c r="W58" s="842">
        <v>20</v>
      </c>
      <c r="X58" s="164"/>
      <c r="Y58" s="837" t="s">
        <v>1535</v>
      </c>
    </row>
    <row r="59" spans="2:25" ht="38.25" x14ac:dyDescent="0.25">
      <c r="B59" s="229"/>
      <c r="C59" s="674"/>
      <c r="D59" s="674"/>
      <c r="E59" s="674"/>
      <c r="F59" s="667"/>
      <c r="G59" s="173" t="s">
        <v>1959</v>
      </c>
      <c r="H59" s="173" t="s">
        <v>1960</v>
      </c>
      <c r="I59" s="165" t="s">
        <v>1427</v>
      </c>
      <c r="J59" s="832"/>
      <c r="K59" s="843">
        <v>0</v>
      </c>
      <c r="L59" s="164">
        <v>0</v>
      </c>
      <c r="M59" s="843">
        <v>800</v>
      </c>
      <c r="N59" s="841">
        <v>351120</v>
      </c>
      <c r="O59" s="843">
        <v>800</v>
      </c>
      <c r="P59" s="841">
        <v>386232</v>
      </c>
      <c r="Q59" s="843">
        <v>800</v>
      </c>
      <c r="R59" s="841">
        <v>424855</v>
      </c>
      <c r="S59" s="843">
        <v>800</v>
      </c>
      <c r="T59" s="841">
        <v>467340</v>
      </c>
      <c r="U59" s="843">
        <v>800</v>
      </c>
      <c r="V59" s="841">
        <v>467340</v>
      </c>
      <c r="W59" s="842">
        <v>3200</v>
      </c>
      <c r="X59" s="164"/>
      <c r="Y59" s="837" t="s">
        <v>1535</v>
      </c>
    </row>
    <row r="60" spans="2:25" ht="48" x14ac:dyDescent="0.25">
      <c r="B60" s="229"/>
      <c r="C60" s="674"/>
      <c r="D60" s="674"/>
      <c r="E60" s="674"/>
      <c r="F60" s="667"/>
      <c r="G60" s="685" t="s">
        <v>1628</v>
      </c>
      <c r="H60" s="685" t="s">
        <v>1627</v>
      </c>
      <c r="I60" s="686" t="s">
        <v>75</v>
      </c>
      <c r="J60" s="844">
        <v>0</v>
      </c>
      <c r="K60" s="836">
        <v>0</v>
      </c>
      <c r="L60" s="845">
        <f>SUM(L61:L62)</f>
        <v>0</v>
      </c>
      <c r="M60" s="836">
        <v>500</v>
      </c>
      <c r="N60" s="845">
        <f>SUM(N61:N62)</f>
        <v>1000000</v>
      </c>
      <c r="O60" s="836">
        <v>500</v>
      </c>
      <c r="P60" s="845">
        <f>SUM(P61:P62)</f>
        <v>1000000</v>
      </c>
      <c r="Q60" s="836">
        <v>500</v>
      </c>
      <c r="R60" s="845">
        <f>SUM(R61:R62)</f>
        <v>1000000</v>
      </c>
      <c r="S60" s="836">
        <v>500</v>
      </c>
      <c r="T60" s="845">
        <f>SUM(T61:T62)</f>
        <v>1000000</v>
      </c>
      <c r="U60" s="836">
        <v>500</v>
      </c>
      <c r="V60" s="845">
        <f>SUM(V61:V62)</f>
        <v>1000000</v>
      </c>
      <c r="W60" s="835">
        <v>2000</v>
      </c>
      <c r="X60" s="845"/>
      <c r="Y60" s="837" t="s">
        <v>1535</v>
      </c>
    </row>
    <row r="61" spans="2:25" ht="38.25" x14ac:dyDescent="0.25">
      <c r="B61" s="229"/>
      <c r="C61" s="674"/>
      <c r="D61" s="674"/>
      <c r="E61" s="674"/>
      <c r="F61" s="667"/>
      <c r="G61" s="173" t="s">
        <v>1961</v>
      </c>
      <c r="H61" s="173" t="s">
        <v>1962</v>
      </c>
      <c r="I61" s="165" t="s">
        <v>79</v>
      </c>
      <c r="J61" s="832"/>
      <c r="K61" s="843">
        <v>0</v>
      </c>
      <c r="L61" s="164">
        <v>0</v>
      </c>
      <c r="M61" s="706">
        <v>10</v>
      </c>
      <c r="N61" s="841">
        <v>500000</v>
      </c>
      <c r="O61" s="706">
        <v>10</v>
      </c>
      <c r="P61" s="841">
        <v>500000</v>
      </c>
      <c r="Q61" s="706">
        <v>10</v>
      </c>
      <c r="R61" s="841">
        <v>500000</v>
      </c>
      <c r="S61" s="706">
        <v>10</v>
      </c>
      <c r="T61" s="841">
        <v>500000</v>
      </c>
      <c r="U61" s="706">
        <v>10</v>
      </c>
      <c r="V61" s="841">
        <v>500000</v>
      </c>
      <c r="W61" s="842">
        <v>40</v>
      </c>
      <c r="X61" s="164"/>
      <c r="Y61" s="837" t="s">
        <v>1535</v>
      </c>
    </row>
    <row r="62" spans="2:25" ht="63.75" x14ac:dyDescent="0.25">
      <c r="B62" s="229"/>
      <c r="C62" s="674"/>
      <c r="D62" s="674"/>
      <c r="E62" s="674"/>
      <c r="F62" s="667"/>
      <c r="G62" s="173" t="s">
        <v>1963</v>
      </c>
      <c r="H62" s="173" t="s">
        <v>1964</v>
      </c>
      <c r="I62" s="165" t="s">
        <v>660</v>
      </c>
      <c r="J62" s="832"/>
      <c r="K62" s="843">
        <v>0</v>
      </c>
      <c r="L62" s="164">
        <v>0</v>
      </c>
      <c r="M62" s="706">
        <v>500</v>
      </c>
      <c r="N62" s="841">
        <v>500000</v>
      </c>
      <c r="O62" s="706">
        <v>500</v>
      </c>
      <c r="P62" s="841">
        <v>500000</v>
      </c>
      <c r="Q62" s="706">
        <v>500</v>
      </c>
      <c r="R62" s="841">
        <v>500000</v>
      </c>
      <c r="S62" s="706">
        <v>500</v>
      </c>
      <c r="T62" s="841">
        <v>500000</v>
      </c>
      <c r="U62" s="706">
        <v>500</v>
      </c>
      <c r="V62" s="841">
        <v>500000</v>
      </c>
      <c r="W62" s="842">
        <v>2000</v>
      </c>
      <c r="X62" s="164"/>
      <c r="Y62" s="837" t="s">
        <v>1535</v>
      </c>
    </row>
    <row r="63" spans="2:25" ht="48" x14ac:dyDescent="0.25">
      <c r="B63" s="229"/>
      <c r="C63" s="674"/>
      <c r="D63" s="674"/>
      <c r="E63" s="674"/>
      <c r="F63" s="170"/>
      <c r="G63" s="685" t="s">
        <v>1622</v>
      </c>
      <c r="H63" s="685" t="s">
        <v>1623</v>
      </c>
      <c r="I63" s="686" t="s">
        <v>19</v>
      </c>
      <c r="J63" s="707"/>
      <c r="K63" s="707">
        <v>12</v>
      </c>
      <c r="L63" s="845">
        <f>SUM(L64:L65)</f>
        <v>3250000</v>
      </c>
      <c r="M63" s="707">
        <v>15</v>
      </c>
      <c r="N63" s="845">
        <f>SUM(N64:N65)</f>
        <v>4250000</v>
      </c>
      <c r="O63" s="707">
        <v>15</v>
      </c>
      <c r="P63" s="845">
        <f>SUM(P64:P65)</f>
        <v>5500000</v>
      </c>
      <c r="Q63" s="707">
        <v>15</v>
      </c>
      <c r="R63" s="845">
        <f>SUM(R64:R65)</f>
        <v>6750000</v>
      </c>
      <c r="S63" s="707">
        <v>15</v>
      </c>
      <c r="T63" s="845">
        <f>SUM(T64:T65)</f>
        <v>8000000</v>
      </c>
      <c r="U63" s="707">
        <v>15</v>
      </c>
      <c r="V63" s="845">
        <f>SUM(V64:V65)</f>
        <v>8000000</v>
      </c>
      <c r="W63" s="860">
        <v>72</v>
      </c>
      <c r="X63" s="845"/>
      <c r="Y63" s="837" t="s">
        <v>1535</v>
      </c>
    </row>
    <row r="64" spans="2:25" ht="51" x14ac:dyDescent="0.25">
      <c r="B64" s="229"/>
      <c r="C64" s="674"/>
      <c r="D64" s="674"/>
      <c r="E64" s="674"/>
      <c r="F64" s="674"/>
      <c r="G64" s="173" t="s">
        <v>1953</v>
      </c>
      <c r="H64" s="173" t="s">
        <v>1954</v>
      </c>
      <c r="I64" s="165" t="s">
        <v>1539</v>
      </c>
      <c r="J64" s="832"/>
      <c r="K64" s="706">
        <v>10</v>
      </c>
      <c r="L64" s="841">
        <v>2250000</v>
      </c>
      <c r="M64" s="706">
        <v>10</v>
      </c>
      <c r="N64" s="841">
        <v>3000000</v>
      </c>
      <c r="O64" s="706">
        <v>10</v>
      </c>
      <c r="P64" s="841">
        <v>4000000</v>
      </c>
      <c r="Q64" s="706">
        <v>10</v>
      </c>
      <c r="R64" s="841">
        <v>5000000</v>
      </c>
      <c r="S64" s="706">
        <v>10</v>
      </c>
      <c r="T64" s="841">
        <v>6000000</v>
      </c>
      <c r="U64" s="706">
        <v>10</v>
      </c>
      <c r="V64" s="841">
        <v>6000000</v>
      </c>
      <c r="W64" s="842">
        <v>50</v>
      </c>
      <c r="X64" s="164"/>
      <c r="Y64" s="837" t="s">
        <v>1535</v>
      </c>
    </row>
    <row r="65" spans="2:35" ht="51" x14ac:dyDescent="0.25">
      <c r="B65" s="229"/>
      <c r="C65" s="674"/>
      <c r="D65" s="674"/>
      <c r="E65" s="674"/>
      <c r="F65" s="674"/>
      <c r="G65" s="173" t="s">
        <v>1955</v>
      </c>
      <c r="H65" s="173" t="s">
        <v>1956</v>
      </c>
      <c r="I65" s="165" t="s">
        <v>1539</v>
      </c>
      <c r="J65" s="832"/>
      <c r="K65" s="706">
        <v>2</v>
      </c>
      <c r="L65" s="841">
        <v>1000000</v>
      </c>
      <c r="M65" s="706">
        <v>5</v>
      </c>
      <c r="N65" s="841">
        <v>1250000</v>
      </c>
      <c r="O65" s="706">
        <v>5</v>
      </c>
      <c r="P65" s="841">
        <v>1500000</v>
      </c>
      <c r="Q65" s="706">
        <v>5</v>
      </c>
      <c r="R65" s="841">
        <v>1750000</v>
      </c>
      <c r="S65" s="706">
        <v>5</v>
      </c>
      <c r="T65" s="841">
        <v>2000000</v>
      </c>
      <c r="U65" s="706">
        <v>5</v>
      </c>
      <c r="V65" s="841">
        <v>2000000</v>
      </c>
      <c r="W65" s="842">
        <v>22</v>
      </c>
      <c r="X65" s="164"/>
      <c r="Y65" s="837" t="s">
        <v>1535</v>
      </c>
    </row>
    <row r="66" spans="2:35" x14ac:dyDescent="0.25">
      <c r="B66" s="229"/>
      <c r="C66" s="674"/>
      <c r="D66" s="674"/>
      <c r="E66" s="674"/>
      <c r="F66" s="674"/>
      <c r="G66" s="173"/>
      <c r="H66" s="173"/>
      <c r="I66" s="1755"/>
      <c r="J66" s="1756"/>
      <c r="K66" s="706"/>
      <c r="L66" s="841"/>
      <c r="M66" s="706"/>
      <c r="N66" s="841"/>
      <c r="O66" s="706"/>
      <c r="P66" s="841"/>
      <c r="Q66" s="706"/>
      <c r="R66" s="841"/>
      <c r="S66" s="706"/>
      <c r="T66" s="841"/>
      <c r="U66" s="706"/>
      <c r="V66" s="841"/>
      <c r="W66" s="842"/>
      <c r="X66" s="1754"/>
      <c r="Y66" s="837"/>
    </row>
    <row r="67" spans="2:35" s="218" customFormat="1" ht="84" customHeight="1" x14ac:dyDescent="0.2">
      <c r="B67" s="170"/>
      <c r="C67" s="172" t="s">
        <v>3975</v>
      </c>
      <c r="D67" s="685" t="s">
        <v>3974</v>
      </c>
      <c r="E67" s="685" t="s">
        <v>3976</v>
      </c>
      <c r="F67" s="685" t="s">
        <v>1550</v>
      </c>
      <c r="G67" s="976" t="s">
        <v>3966</v>
      </c>
      <c r="H67" s="685"/>
      <c r="I67" s="976" t="s">
        <v>19</v>
      </c>
      <c r="J67" s="852">
        <v>60.909090909090914</v>
      </c>
      <c r="K67" s="852">
        <v>64.545454545454547</v>
      </c>
      <c r="L67" s="1073"/>
      <c r="M67" s="852">
        <v>69.090909090909093</v>
      </c>
      <c r="N67" s="1073"/>
      <c r="O67" s="852">
        <v>73.636363636363626</v>
      </c>
      <c r="P67" s="1073"/>
      <c r="Q67" s="852">
        <v>78.181818181818187</v>
      </c>
      <c r="R67" s="1073"/>
      <c r="S67" s="852">
        <v>82.727272727272734</v>
      </c>
      <c r="T67" s="1073"/>
      <c r="U67" s="852">
        <v>87.272727272727266</v>
      </c>
      <c r="V67" s="1073"/>
      <c r="W67" s="835">
        <v>87.272727272727266</v>
      </c>
      <c r="X67" s="979"/>
      <c r="Y67" s="669" t="s">
        <v>1535</v>
      </c>
    </row>
    <row r="68" spans="2:35" s="937" customFormat="1" ht="60" x14ac:dyDescent="0.2">
      <c r="B68" s="229"/>
      <c r="C68" s="170"/>
      <c r="D68" s="674"/>
      <c r="E68" s="674"/>
      <c r="F68" s="170"/>
      <c r="G68" s="171" t="s">
        <v>1551</v>
      </c>
      <c r="H68" s="171" t="s">
        <v>1550</v>
      </c>
      <c r="I68" s="1774" t="s">
        <v>19</v>
      </c>
      <c r="J68" s="1787">
        <v>60.909090909090914</v>
      </c>
      <c r="K68" s="1787">
        <v>64.545454545454547</v>
      </c>
      <c r="L68" s="855">
        <f>SUM(L69:L71)</f>
        <v>750000</v>
      </c>
      <c r="M68" s="1787">
        <v>69.090909090909093</v>
      </c>
      <c r="N68" s="855">
        <f>SUM(N69:N71)</f>
        <v>16750000</v>
      </c>
      <c r="O68" s="1787">
        <v>73.636363636363626</v>
      </c>
      <c r="P68" s="855">
        <f>SUM(P69:P71)</f>
        <v>18000000</v>
      </c>
      <c r="Q68" s="1787">
        <v>78.181818181818187</v>
      </c>
      <c r="R68" s="855">
        <f>SUM(R69:R71)</f>
        <v>19300000</v>
      </c>
      <c r="S68" s="1787">
        <v>82.727272727272734</v>
      </c>
      <c r="T68" s="855">
        <f>SUM(T69:T71)</f>
        <v>20600000</v>
      </c>
      <c r="U68" s="1787">
        <v>87.272727272727266</v>
      </c>
      <c r="V68" s="855">
        <f>SUM(V69:V71)</f>
        <v>20600000</v>
      </c>
      <c r="W68" s="840">
        <f>U68</f>
        <v>87.272727272727266</v>
      </c>
      <c r="X68" s="1788"/>
      <c r="Y68" s="1789" t="s">
        <v>1535</v>
      </c>
      <c r="AI68" s="938"/>
    </row>
    <row r="69" spans="2:35" ht="38.25" x14ac:dyDescent="0.25">
      <c r="B69" s="229"/>
      <c r="C69" s="674"/>
      <c r="D69" s="674"/>
      <c r="E69" s="674"/>
      <c r="F69" s="674"/>
      <c r="G69" s="173" t="s">
        <v>1904</v>
      </c>
      <c r="H69" s="173" t="s">
        <v>1905</v>
      </c>
      <c r="I69" s="165" t="s">
        <v>75</v>
      </c>
      <c r="J69" s="832">
        <v>5</v>
      </c>
      <c r="K69" s="843">
        <v>0</v>
      </c>
      <c r="L69" s="164">
        <v>0</v>
      </c>
      <c r="M69" s="706">
        <v>5</v>
      </c>
      <c r="N69" s="841">
        <v>15000000</v>
      </c>
      <c r="O69" s="706">
        <v>5</v>
      </c>
      <c r="P69" s="841">
        <v>16000000</v>
      </c>
      <c r="Q69" s="706">
        <v>5</v>
      </c>
      <c r="R69" s="841">
        <v>17000000</v>
      </c>
      <c r="S69" s="706">
        <v>5</v>
      </c>
      <c r="T69" s="841">
        <v>18000000</v>
      </c>
      <c r="U69" s="706">
        <v>5</v>
      </c>
      <c r="V69" s="841">
        <v>18000000</v>
      </c>
      <c r="W69" s="842">
        <v>20</v>
      </c>
      <c r="X69" s="164"/>
      <c r="Y69" s="837" t="s">
        <v>1535</v>
      </c>
    </row>
    <row r="70" spans="2:35" ht="38.25" x14ac:dyDescent="0.25">
      <c r="B70" s="229"/>
      <c r="C70" s="674"/>
      <c r="D70" s="674"/>
      <c r="E70" s="674"/>
      <c r="F70" s="674"/>
      <c r="G70" s="173" t="s">
        <v>1906</v>
      </c>
      <c r="H70" s="173" t="s">
        <v>1907</v>
      </c>
      <c r="I70" s="165" t="s">
        <v>75</v>
      </c>
      <c r="J70" s="832">
        <v>18</v>
      </c>
      <c r="K70" s="843">
        <v>0</v>
      </c>
      <c r="L70" s="164">
        <v>0</v>
      </c>
      <c r="M70" s="706">
        <v>5</v>
      </c>
      <c r="N70" s="841">
        <v>1000000</v>
      </c>
      <c r="O70" s="706">
        <v>5</v>
      </c>
      <c r="P70" s="841">
        <v>1250000</v>
      </c>
      <c r="Q70" s="706">
        <v>5</v>
      </c>
      <c r="R70" s="841">
        <v>1500000</v>
      </c>
      <c r="S70" s="706">
        <v>5</v>
      </c>
      <c r="T70" s="841">
        <v>1750000</v>
      </c>
      <c r="U70" s="706">
        <v>5</v>
      </c>
      <c r="V70" s="841">
        <v>1750000</v>
      </c>
      <c r="W70" s="842">
        <v>20</v>
      </c>
      <c r="X70" s="164"/>
      <c r="Y70" s="837" t="s">
        <v>1535</v>
      </c>
    </row>
    <row r="71" spans="2:35" ht="63.75" x14ac:dyDescent="0.25">
      <c r="B71" s="229"/>
      <c r="C71" s="674"/>
      <c r="D71" s="674"/>
      <c r="E71" s="674"/>
      <c r="F71" s="674"/>
      <c r="G71" s="173" t="s">
        <v>1912</v>
      </c>
      <c r="H71" s="173" t="s">
        <v>1913</v>
      </c>
      <c r="I71" s="165" t="s">
        <v>79</v>
      </c>
      <c r="J71" s="843"/>
      <c r="K71" s="843">
        <v>10</v>
      </c>
      <c r="L71" s="164">
        <v>750000</v>
      </c>
      <c r="M71" s="843">
        <v>10</v>
      </c>
      <c r="N71" s="164">
        <v>750000</v>
      </c>
      <c r="O71" s="843">
        <v>10</v>
      </c>
      <c r="P71" s="164">
        <v>750000</v>
      </c>
      <c r="Q71" s="843">
        <v>10</v>
      </c>
      <c r="R71" s="164">
        <v>800000</v>
      </c>
      <c r="S71" s="843">
        <v>10</v>
      </c>
      <c r="T71" s="164">
        <v>850000</v>
      </c>
      <c r="U71" s="843">
        <v>10</v>
      </c>
      <c r="V71" s="164">
        <v>850000</v>
      </c>
      <c r="W71" s="842">
        <v>50</v>
      </c>
      <c r="X71" s="164"/>
      <c r="Y71" s="837" t="s">
        <v>1535</v>
      </c>
    </row>
    <row r="72" spans="2:35" ht="84" x14ac:dyDescent="0.25">
      <c r="B72" s="229"/>
      <c r="C72" s="674"/>
      <c r="D72" s="674"/>
      <c r="E72" s="674"/>
      <c r="F72" s="170"/>
      <c r="G72" s="685" t="s">
        <v>1552</v>
      </c>
      <c r="H72" s="685" t="s">
        <v>1553</v>
      </c>
      <c r="I72" s="669" t="s">
        <v>19</v>
      </c>
      <c r="J72" s="836">
        <v>0</v>
      </c>
      <c r="K72" s="836">
        <v>100</v>
      </c>
      <c r="L72" s="668">
        <f>SUM(L73)</f>
        <v>42500000</v>
      </c>
      <c r="M72" s="836">
        <v>0</v>
      </c>
      <c r="N72" s="668">
        <f>SUM(N73)</f>
        <v>0</v>
      </c>
      <c r="O72" s="836">
        <v>0</v>
      </c>
      <c r="P72" s="668">
        <f>SUM(P73)</f>
        <v>0</v>
      </c>
      <c r="Q72" s="836">
        <v>0</v>
      </c>
      <c r="R72" s="668">
        <f>SUM(R73)</f>
        <v>0</v>
      </c>
      <c r="S72" s="836">
        <v>0</v>
      </c>
      <c r="T72" s="668">
        <f>SUM(T73)</f>
        <v>0</v>
      </c>
      <c r="U72" s="836">
        <v>0</v>
      </c>
      <c r="V72" s="668">
        <f>SUM(V73)</f>
        <v>0</v>
      </c>
      <c r="W72" s="835">
        <v>100</v>
      </c>
      <c r="X72" s="668"/>
      <c r="Y72" s="837" t="s">
        <v>1535</v>
      </c>
    </row>
    <row r="73" spans="2:35" ht="38.25" x14ac:dyDescent="0.25">
      <c r="B73" s="229"/>
      <c r="C73" s="674"/>
      <c r="D73" s="674"/>
      <c r="E73" s="674"/>
      <c r="F73" s="674"/>
      <c r="G73" s="173" t="s">
        <v>1908</v>
      </c>
      <c r="H73" s="173" t="s">
        <v>1909</v>
      </c>
      <c r="I73" s="162" t="s">
        <v>19</v>
      </c>
      <c r="J73" s="843">
        <v>0</v>
      </c>
      <c r="K73" s="843">
        <v>100</v>
      </c>
      <c r="L73" s="164">
        <v>42500000</v>
      </c>
      <c r="M73" s="843">
        <v>0</v>
      </c>
      <c r="N73" s="164">
        <v>0</v>
      </c>
      <c r="O73" s="843">
        <v>0</v>
      </c>
      <c r="P73" s="164">
        <v>0</v>
      </c>
      <c r="Q73" s="843">
        <v>0</v>
      </c>
      <c r="R73" s="164">
        <v>0</v>
      </c>
      <c r="S73" s="843">
        <v>0</v>
      </c>
      <c r="T73" s="164">
        <v>0</v>
      </c>
      <c r="U73" s="843">
        <v>0</v>
      </c>
      <c r="V73" s="164">
        <v>0</v>
      </c>
      <c r="W73" s="842">
        <v>100</v>
      </c>
      <c r="X73" s="164"/>
      <c r="Y73" s="837" t="s">
        <v>1535</v>
      </c>
    </row>
    <row r="74" spans="2:35" ht="48" x14ac:dyDescent="0.25">
      <c r="B74" s="229"/>
      <c r="C74" s="674"/>
      <c r="D74" s="674"/>
      <c r="E74" s="674"/>
      <c r="F74" s="170"/>
      <c r="G74" s="685" t="s">
        <v>1554</v>
      </c>
      <c r="H74" s="685" t="s">
        <v>3185</v>
      </c>
      <c r="I74" s="686" t="s">
        <v>75</v>
      </c>
      <c r="J74" s="836">
        <v>2</v>
      </c>
      <c r="K74" s="836">
        <v>5</v>
      </c>
      <c r="L74" s="668">
        <f>SUM(L75)</f>
        <v>16750000</v>
      </c>
      <c r="M74" s="836">
        <v>5</v>
      </c>
      <c r="N74" s="668">
        <f>SUM(N75)</f>
        <v>16750000</v>
      </c>
      <c r="O74" s="836">
        <v>5</v>
      </c>
      <c r="P74" s="668">
        <f>SUM(P75)</f>
        <v>16750000</v>
      </c>
      <c r="Q74" s="836">
        <v>5</v>
      </c>
      <c r="R74" s="668">
        <f>SUM(R75)</f>
        <v>16750000</v>
      </c>
      <c r="S74" s="836">
        <v>5</v>
      </c>
      <c r="T74" s="668">
        <f>SUM(T75)</f>
        <v>16750000</v>
      </c>
      <c r="U74" s="836">
        <v>5</v>
      </c>
      <c r="V74" s="668">
        <f>SUM(V75)</f>
        <v>16750000</v>
      </c>
      <c r="W74" s="835">
        <v>25</v>
      </c>
      <c r="X74" s="668"/>
      <c r="Y74" s="837" t="s">
        <v>1535</v>
      </c>
    </row>
    <row r="75" spans="2:35" ht="102" x14ac:dyDescent="0.25">
      <c r="B75" s="229"/>
      <c r="C75" s="674"/>
      <c r="D75" s="674"/>
      <c r="E75" s="674"/>
      <c r="F75" s="674"/>
      <c r="G75" s="173" t="s">
        <v>1910</v>
      </c>
      <c r="H75" s="173" t="s">
        <v>1911</v>
      </c>
      <c r="I75" s="165" t="s">
        <v>75</v>
      </c>
      <c r="J75" s="843">
        <v>2</v>
      </c>
      <c r="K75" s="843">
        <v>5</v>
      </c>
      <c r="L75" s="164">
        <v>16750000</v>
      </c>
      <c r="M75" s="843">
        <v>5</v>
      </c>
      <c r="N75" s="164">
        <v>16750000</v>
      </c>
      <c r="O75" s="843">
        <v>5</v>
      </c>
      <c r="P75" s="164">
        <v>16750000</v>
      </c>
      <c r="Q75" s="843">
        <v>5</v>
      </c>
      <c r="R75" s="164">
        <v>16750000</v>
      </c>
      <c r="S75" s="843">
        <v>5</v>
      </c>
      <c r="T75" s="164">
        <v>16750000</v>
      </c>
      <c r="U75" s="843">
        <v>5</v>
      </c>
      <c r="V75" s="164">
        <v>16750000</v>
      </c>
      <c r="W75" s="842">
        <v>25</v>
      </c>
      <c r="X75" s="164"/>
      <c r="Y75" s="837" t="s">
        <v>1535</v>
      </c>
    </row>
    <row r="76" spans="2:35" x14ac:dyDescent="0.25">
      <c r="B76" s="229"/>
      <c r="C76" s="674"/>
      <c r="D76" s="173"/>
      <c r="E76" s="173"/>
      <c r="F76" s="173"/>
      <c r="G76" s="173"/>
      <c r="H76" s="173"/>
      <c r="I76" s="1755"/>
      <c r="J76" s="843"/>
      <c r="K76" s="843"/>
      <c r="L76" s="1754"/>
      <c r="M76" s="843"/>
      <c r="N76" s="1754"/>
      <c r="O76" s="843"/>
      <c r="P76" s="1754"/>
      <c r="Q76" s="843"/>
      <c r="R76" s="1754"/>
      <c r="S76" s="843"/>
      <c r="T76" s="1754"/>
      <c r="U76" s="843"/>
      <c r="V76" s="1754"/>
      <c r="W76" s="842"/>
      <c r="X76" s="1754"/>
      <c r="Y76" s="837"/>
    </row>
    <row r="77" spans="2:35" s="219" customFormat="1" ht="84" x14ac:dyDescent="0.2">
      <c r="B77" s="1769"/>
      <c r="C77" s="170"/>
      <c r="D77" s="685" t="s">
        <v>3977</v>
      </c>
      <c r="E77" s="685" t="s">
        <v>3978</v>
      </c>
      <c r="F77" s="685" t="s">
        <v>3965</v>
      </c>
      <c r="G77" s="1774" t="s">
        <v>3963</v>
      </c>
      <c r="H77" s="685"/>
      <c r="I77" s="976"/>
      <c r="J77" s="836">
        <v>11.45</v>
      </c>
      <c r="K77" s="836">
        <v>12.9967093986777</v>
      </c>
      <c r="L77" s="218"/>
      <c r="M77" s="836">
        <v>13.775809517337583</v>
      </c>
      <c r="N77" s="218"/>
      <c r="O77" s="836">
        <v>14.620686568917323</v>
      </c>
      <c r="P77" s="836"/>
      <c r="Q77" s="836">
        <v>15.536213934535262</v>
      </c>
      <c r="R77" s="1073"/>
      <c r="S77" s="836">
        <v>16.528233338903249</v>
      </c>
      <c r="T77" s="1073"/>
      <c r="U77" s="836">
        <v>16.528233338903249</v>
      </c>
      <c r="V77" s="1073"/>
      <c r="W77" s="836">
        <v>16.528233338903249</v>
      </c>
      <c r="X77" s="1073"/>
      <c r="Y77" s="1770"/>
    </row>
    <row r="78" spans="2:35" ht="48" x14ac:dyDescent="0.25">
      <c r="B78" s="229"/>
      <c r="C78" s="674"/>
      <c r="D78" s="674"/>
      <c r="E78" s="674"/>
      <c r="F78" s="170"/>
      <c r="G78" s="685" t="s">
        <v>1555</v>
      </c>
      <c r="H78" s="685" t="s">
        <v>1556</v>
      </c>
      <c r="I78" s="686" t="s">
        <v>19</v>
      </c>
      <c r="J78" s="844">
        <v>12.28</v>
      </c>
      <c r="K78" s="707">
        <v>13</v>
      </c>
      <c r="L78" s="845">
        <f>SUM(L79:L87)</f>
        <v>18531486</v>
      </c>
      <c r="M78" s="707">
        <v>13.78</v>
      </c>
      <c r="N78" s="845">
        <f>SUM(N79:N87)</f>
        <v>32100000</v>
      </c>
      <c r="O78" s="707">
        <v>14.62</v>
      </c>
      <c r="P78" s="845">
        <f>SUM(P79:P87)</f>
        <v>33600000</v>
      </c>
      <c r="Q78" s="707">
        <v>15.64</v>
      </c>
      <c r="R78" s="845">
        <f>SUM(R79:R87)</f>
        <v>33100000</v>
      </c>
      <c r="S78" s="707">
        <v>16.53</v>
      </c>
      <c r="T78" s="845">
        <f>SUM(T79:T87)</f>
        <v>33600000</v>
      </c>
      <c r="U78" s="707">
        <v>16.53</v>
      </c>
      <c r="V78" s="845">
        <f>SUM(V79:V87)</f>
        <v>33600000</v>
      </c>
      <c r="W78" s="835">
        <f>U78</f>
        <v>16.53</v>
      </c>
      <c r="X78" s="845"/>
      <c r="Y78" s="837" t="s">
        <v>1535</v>
      </c>
    </row>
    <row r="79" spans="2:35" ht="76.5" x14ac:dyDescent="0.25">
      <c r="B79" s="229"/>
      <c r="C79" s="674"/>
      <c r="D79" s="674"/>
      <c r="E79" s="674"/>
      <c r="F79" s="674"/>
      <c r="G79" s="173" t="s">
        <v>1914</v>
      </c>
      <c r="H79" s="173" t="s">
        <v>1915</v>
      </c>
      <c r="I79" s="165" t="s">
        <v>1916</v>
      </c>
      <c r="J79" s="832"/>
      <c r="K79" s="843">
        <v>0</v>
      </c>
      <c r="L79" s="164">
        <v>0</v>
      </c>
      <c r="M79" s="843">
        <v>3975</v>
      </c>
      <c r="N79" s="164">
        <v>9000000</v>
      </c>
      <c r="O79" s="843">
        <v>3975</v>
      </c>
      <c r="P79" s="164">
        <v>9000000</v>
      </c>
      <c r="Q79" s="843">
        <v>3975</v>
      </c>
      <c r="R79" s="164">
        <v>9000000</v>
      </c>
      <c r="S79" s="843">
        <v>3975</v>
      </c>
      <c r="T79" s="164">
        <v>9000000</v>
      </c>
      <c r="U79" s="843">
        <v>3975</v>
      </c>
      <c r="V79" s="164">
        <v>9000000</v>
      </c>
      <c r="W79" s="842"/>
      <c r="X79" s="164"/>
      <c r="Y79" s="837" t="s">
        <v>1535</v>
      </c>
    </row>
    <row r="80" spans="2:35" ht="51" x14ac:dyDescent="0.25">
      <c r="B80" s="229"/>
      <c r="C80" s="674"/>
      <c r="D80" s="674"/>
      <c r="E80" s="674"/>
      <c r="F80" s="674"/>
      <c r="G80" s="173" t="s">
        <v>1917</v>
      </c>
      <c r="H80" s="173" t="s">
        <v>1918</v>
      </c>
      <c r="I80" s="165" t="s">
        <v>75</v>
      </c>
      <c r="J80" s="843"/>
      <c r="K80" s="843">
        <v>5</v>
      </c>
      <c r="L80" s="164">
        <v>2385000</v>
      </c>
      <c r="M80" s="843">
        <v>4</v>
      </c>
      <c r="N80" s="164">
        <v>4000000</v>
      </c>
      <c r="O80" s="843">
        <v>5</v>
      </c>
      <c r="P80" s="164">
        <v>5000000</v>
      </c>
      <c r="Q80" s="843">
        <v>4</v>
      </c>
      <c r="R80" s="164">
        <v>4000000</v>
      </c>
      <c r="S80" s="843">
        <v>4</v>
      </c>
      <c r="T80" s="164">
        <v>4000000</v>
      </c>
      <c r="U80" s="843">
        <v>4</v>
      </c>
      <c r="V80" s="164">
        <v>4000000</v>
      </c>
      <c r="W80" s="842"/>
      <c r="X80" s="164"/>
      <c r="Y80" s="837" t="s">
        <v>1535</v>
      </c>
    </row>
    <row r="81" spans="2:25" ht="51" x14ac:dyDescent="0.25">
      <c r="B81" s="229"/>
      <c r="C81" s="674"/>
      <c r="D81" s="674"/>
      <c r="E81" s="674"/>
      <c r="F81" s="674"/>
      <c r="G81" s="173"/>
      <c r="H81" s="173" t="s">
        <v>1919</v>
      </c>
      <c r="I81" s="165" t="s">
        <v>75</v>
      </c>
      <c r="J81" s="843">
        <v>0</v>
      </c>
      <c r="K81" s="843">
        <v>0</v>
      </c>
      <c r="L81" s="164">
        <v>0</v>
      </c>
      <c r="M81" s="843">
        <v>0</v>
      </c>
      <c r="N81" s="164">
        <v>0</v>
      </c>
      <c r="O81" s="843"/>
      <c r="P81" s="164"/>
      <c r="Q81" s="843">
        <v>0</v>
      </c>
      <c r="R81" s="164">
        <v>0</v>
      </c>
      <c r="S81" s="843">
        <v>0</v>
      </c>
      <c r="T81" s="164">
        <v>0</v>
      </c>
      <c r="U81" s="843">
        <v>0</v>
      </c>
      <c r="V81" s="164">
        <v>0</v>
      </c>
      <c r="W81" s="842"/>
      <c r="X81" s="164"/>
      <c r="Y81" s="837" t="s">
        <v>1535</v>
      </c>
    </row>
    <row r="82" spans="2:25" ht="89.25" x14ac:dyDescent="0.25">
      <c r="B82" s="229"/>
      <c r="C82" s="674"/>
      <c r="D82" s="674"/>
      <c r="E82" s="674"/>
      <c r="F82" s="674"/>
      <c r="G82" s="173" t="s">
        <v>1920</v>
      </c>
      <c r="H82" s="173" t="s">
        <v>1921</v>
      </c>
      <c r="I82" s="165" t="s">
        <v>40</v>
      </c>
      <c r="J82" s="832"/>
      <c r="K82" s="706">
        <v>12</v>
      </c>
      <c r="L82" s="841">
        <v>5000000</v>
      </c>
      <c r="M82" s="706">
        <v>12</v>
      </c>
      <c r="N82" s="841">
        <v>5000000</v>
      </c>
      <c r="O82" s="706">
        <v>12</v>
      </c>
      <c r="P82" s="841">
        <v>5000000</v>
      </c>
      <c r="Q82" s="706">
        <v>12</v>
      </c>
      <c r="R82" s="841">
        <v>5000000</v>
      </c>
      <c r="S82" s="706">
        <v>12</v>
      </c>
      <c r="T82" s="841">
        <v>5000000</v>
      </c>
      <c r="U82" s="706">
        <v>12</v>
      </c>
      <c r="V82" s="841">
        <v>5000000</v>
      </c>
      <c r="W82" s="842"/>
      <c r="X82" s="164"/>
      <c r="Y82" s="837" t="s">
        <v>1535</v>
      </c>
    </row>
    <row r="83" spans="2:25" ht="63.75" x14ac:dyDescent="0.25">
      <c r="B83" s="229"/>
      <c r="C83" s="674"/>
      <c r="D83" s="674"/>
      <c r="E83" s="674"/>
      <c r="F83" s="674"/>
      <c r="G83" s="173" t="s">
        <v>1922</v>
      </c>
      <c r="H83" s="173" t="s">
        <v>1923</v>
      </c>
      <c r="I83" s="165" t="s">
        <v>75</v>
      </c>
      <c r="J83" s="832"/>
      <c r="K83" s="843">
        <v>0</v>
      </c>
      <c r="L83" s="164">
        <v>0</v>
      </c>
      <c r="M83" s="843">
        <v>20</v>
      </c>
      <c r="N83" s="164">
        <v>2000000</v>
      </c>
      <c r="O83" s="843">
        <v>20</v>
      </c>
      <c r="P83" s="164">
        <v>2000000</v>
      </c>
      <c r="Q83" s="843">
        <v>20</v>
      </c>
      <c r="R83" s="164">
        <v>2000000</v>
      </c>
      <c r="S83" s="843">
        <v>20</v>
      </c>
      <c r="T83" s="164">
        <v>2000000</v>
      </c>
      <c r="U83" s="843">
        <v>20</v>
      </c>
      <c r="V83" s="164">
        <v>2000000</v>
      </c>
      <c r="W83" s="842"/>
      <c r="X83" s="164"/>
      <c r="Y83" s="837" t="s">
        <v>1535</v>
      </c>
    </row>
    <row r="84" spans="2:25" ht="38.25" x14ac:dyDescent="0.25">
      <c r="B84" s="229"/>
      <c r="C84" s="674"/>
      <c r="D84" s="674"/>
      <c r="E84" s="674"/>
      <c r="F84" s="674"/>
      <c r="G84" s="173" t="s">
        <v>1924</v>
      </c>
      <c r="H84" s="173" t="s">
        <v>1925</v>
      </c>
      <c r="I84" s="165" t="s">
        <v>40</v>
      </c>
      <c r="J84" s="832"/>
      <c r="K84" s="706">
        <v>0</v>
      </c>
      <c r="L84" s="164">
        <v>0</v>
      </c>
      <c r="M84" s="843">
        <v>12</v>
      </c>
      <c r="N84" s="164">
        <v>100000</v>
      </c>
      <c r="O84" s="843">
        <v>12</v>
      </c>
      <c r="P84" s="164">
        <v>100000</v>
      </c>
      <c r="Q84" s="843">
        <v>12</v>
      </c>
      <c r="R84" s="164">
        <v>100000</v>
      </c>
      <c r="S84" s="843">
        <v>12</v>
      </c>
      <c r="T84" s="164">
        <v>100000</v>
      </c>
      <c r="U84" s="843">
        <v>12</v>
      </c>
      <c r="V84" s="164">
        <v>100000</v>
      </c>
      <c r="W84" s="842"/>
      <c r="X84" s="164"/>
      <c r="Y84" s="837" t="s">
        <v>1535</v>
      </c>
    </row>
    <row r="85" spans="2:25" ht="38.25" x14ac:dyDescent="0.25">
      <c r="B85" s="229"/>
      <c r="C85" s="674"/>
      <c r="D85" s="674"/>
      <c r="E85" s="674"/>
      <c r="F85" s="674"/>
      <c r="G85" s="173" t="s">
        <v>1926</v>
      </c>
      <c r="H85" s="173" t="s">
        <v>1927</v>
      </c>
      <c r="I85" s="165" t="s">
        <v>1413</v>
      </c>
      <c r="J85" s="843">
        <v>8</v>
      </c>
      <c r="K85" s="843">
        <v>10</v>
      </c>
      <c r="L85" s="164">
        <v>9146486</v>
      </c>
      <c r="M85" s="843">
        <v>50</v>
      </c>
      <c r="N85" s="164">
        <v>10000000</v>
      </c>
      <c r="O85" s="843">
        <v>50</v>
      </c>
      <c r="P85" s="164">
        <v>10000000</v>
      </c>
      <c r="Q85" s="843">
        <v>50</v>
      </c>
      <c r="R85" s="164">
        <v>10000000</v>
      </c>
      <c r="S85" s="843">
        <v>50</v>
      </c>
      <c r="T85" s="164">
        <v>10000000</v>
      </c>
      <c r="U85" s="843">
        <v>50</v>
      </c>
      <c r="V85" s="164">
        <v>10000000</v>
      </c>
      <c r="W85" s="842"/>
      <c r="X85" s="164"/>
      <c r="Y85" s="837" t="s">
        <v>1535</v>
      </c>
    </row>
    <row r="86" spans="2:25" ht="38.25" x14ac:dyDescent="0.25">
      <c r="B86" s="229"/>
      <c r="C86" s="674"/>
      <c r="D86" s="674"/>
      <c r="E86" s="674"/>
      <c r="F86" s="674"/>
      <c r="G86" s="173" t="s">
        <v>1928</v>
      </c>
      <c r="H86" s="173" t="s">
        <v>1927</v>
      </c>
      <c r="I86" s="165" t="s">
        <v>1413</v>
      </c>
      <c r="J86" s="843">
        <v>8</v>
      </c>
      <c r="K86" s="843">
        <v>13</v>
      </c>
      <c r="L86" s="164">
        <v>1900000</v>
      </c>
      <c r="M86" s="843">
        <v>10</v>
      </c>
      <c r="N86" s="164">
        <v>2000000</v>
      </c>
      <c r="O86" s="843">
        <v>10</v>
      </c>
      <c r="P86" s="164">
        <v>2500000</v>
      </c>
      <c r="Q86" s="843">
        <v>10</v>
      </c>
      <c r="R86" s="164">
        <v>3000000</v>
      </c>
      <c r="S86" s="843">
        <v>10</v>
      </c>
      <c r="T86" s="164">
        <v>3500000</v>
      </c>
      <c r="U86" s="843">
        <v>10</v>
      </c>
      <c r="V86" s="164">
        <v>3500000</v>
      </c>
      <c r="W86" s="842"/>
      <c r="X86" s="164"/>
      <c r="Y86" s="837" t="s">
        <v>1535</v>
      </c>
    </row>
    <row r="87" spans="2:25" ht="38.25" x14ac:dyDescent="0.25">
      <c r="B87" s="229"/>
      <c r="C87" s="674"/>
      <c r="D87" s="674"/>
      <c r="E87" s="674"/>
      <c r="F87" s="667"/>
      <c r="G87" s="673" t="s">
        <v>1872</v>
      </c>
      <c r="H87" s="173" t="s">
        <v>1873</v>
      </c>
      <c r="I87" s="165" t="s">
        <v>1413</v>
      </c>
      <c r="J87" s="843"/>
      <c r="K87" s="843">
        <v>5</v>
      </c>
      <c r="L87" s="164">
        <v>100000</v>
      </c>
      <c r="M87" s="843">
        <v>0</v>
      </c>
      <c r="N87" s="164">
        <v>0</v>
      </c>
      <c r="O87" s="843">
        <v>0</v>
      </c>
      <c r="P87" s="164">
        <v>0</v>
      </c>
      <c r="Q87" s="843">
        <v>0</v>
      </c>
      <c r="R87" s="164">
        <v>0</v>
      </c>
      <c r="S87" s="843">
        <v>0</v>
      </c>
      <c r="T87" s="164">
        <v>0</v>
      </c>
      <c r="U87" s="843">
        <v>0</v>
      </c>
      <c r="V87" s="164">
        <v>0</v>
      </c>
      <c r="W87" s="842"/>
      <c r="X87" s="164"/>
      <c r="Y87" s="837" t="s">
        <v>1535</v>
      </c>
    </row>
    <row r="88" spans="2:25" x14ac:dyDescent="0.25">
      <c r="B88" s="229"/>
      <c r="C88" s="674"/>
      <c r="D88" s="173"/>
      <c r="E88" s="173"/>
      <c r="F88" s="1751"/>
      <c r="G88" s="673"/>
      <c r="H88" s="173"/>
      <c r="I88" s="1755"/>
      <c r="J88" s="843"/>
      <c r="K88" s="843"/>
      <c r="L88" s="1754"/>
      <c r="M88" s="843"/>
      <c r="N88" s="1754"/>
      <c r="O88" s="843"/>
      <c r="P88" s="1754"/>
      <c r="Q88" s="843"/>
      <c r="R88" s="1754"/>
      <c r="S88" s="843"/>
      <c r="T88" s="1754"/>
      <c r="U88" s="843"/>
      <c r="V88" s="1754"/>
      <c r="W88" s="842"/>
      <c r="X88" s="1754"/>
      <c r="Y88" s="837"/>
    </row>
    <row r="89" spans="2:25" s="219" customFormat="1" ht="63.75" customHeight="1" x14ac:dyDescent="0.2">
      <c r="B89" s="1769"/>
      <c r="C89" s="170"/>
      <c r="D89" s="685" t="s">
        <v>3981</v>
      </c>
      <c r="E89" s="685" t="s">
        <v>3982</v>
      </c>
      <c r="F89" s="685" t="s">
        <v>3967</v>
      </c>
      <c r="G89" s="976" t="s">
        <v>3968</v>
      </c>
      <c r="H89" s="685"/>
      <c r="I89" s="1790">
        <v>4140</v>
      </c>
      <c r="J89" s="707">
        <v>0</v>
      </c>
      <c r="K89" s="707">
        <v>4141</v>
      </c>
      <c r="L89" s="979"/>
      <c r="M89" s="707">
        <v>4142</v>
      </c>
      <c r="N89" s="979"/>
      <c r="O89" s="707">
        <v>4143</v>
      </c>
      <c r="P89" s="979"/>
      <c r="Q89" s="707">
        <v>4144</v>
      </c>
      <c r="R89" s="979"/>
      <c r="S89" s="707">
        <v>4145</v>
      </c>
      <c r="T89" s="979"/>
      <c r="U89" s="707">
        <v>4146</v>
      </c>
      <c r="V89" s="979"/>
      <c r="W89" s="835">
        <v>4146</v>
      </c>
      <c r="X89" s="1073"/>
      <c r="Y89" s="1770"/>
    </row>
    <row r="90" spans="2:25" ht="36" customHeight="1" x14ac:dyDescent="0.25">
      <c r="B90" s="229"/>
      <c r="C90" s="674"/>
      <c r="D90" s="674"/>
      <c r="E90" s="674"/>
      <c r="F90" s="170"/>
      <c r="G90" s="685" t="s">
        <v>1632</v>
      </c>
      <c r="H90" s="685" t="s">
        <v>1631</v>
      </c>
      <c r="I90" s="686" t="s">
        <v>1633</v>
      </c>
      <c r="J90" s="836">
        <v>0</v>
      </c>
      <c r="K90" s="836">
        <v>1</v>
      </c>
      <c r="L90" s="668">
        <f>SUM(L91:L92)</f>
        <v>10574100</v>
      </c>
      <c r="M90" s="836">
        <v>1</v>
      </c>
      <c r="N90" s="668">
        <f>SUM(N91:N92)</f>
        <v>10974100</v>
      </c>
      <c r="O90" s="836">
        <v>1</v>
      </c>
      <c r="P90" s="668">
        <f>SUM(P91:P92)</f>
        <v>11374100</v>
      </c>
      <c r="Q90" s="836">
        <v>1</v>
      </c>
      <c r="R90" s="668">
        <f>SUM(R91:R92)</f>
        <v>11774100</v>
      </c>
      <c r="S90" s="836">
        <v>1</v>
      </c>
      <c r="T90" s="668">
        <f>SUM(T91:T92)</f>
        <v>12174100</v>
      </c>
      <c r="U90" s="836">
        <v>1</v>
      </c>
      <c r="V90" s="668">
        <f>SUM(V91:V92)</f>
        <v>12174100</v>
      </c>
      <c r="W90" s="835">
        <v>5</v>
      </c>
      <c r="X90" s="668"/>
      <c r="Y90" s="837" t="s">
        <v>1535</v>
      </c>
    </row>
    <row r="91" spans="2:25" ht="38.25" x14ac:dyDescent="0.25">
      <c r="B91" s="229"/>
      <c r="C91" s="674"/>
      <c r="D91" s="674"/>
      <c r="E91" s="674"/>
      <c r="F91" s="674"/>
      <c r="G91" s="173" t="s">
        <v>1973</v>
      </c>
      <c r="H91" s="173" t="s">
        <v>1974</v>
      </c>
      <c r="I91" s="165" t="s">
        <v>40</v>
      </c>
      <c r="J91" s="843"/>
      <c r="K91" s="843">
        <v>12</v>
      </c>
      <c r="L91" s="164">
        <v>5000000</v>
      </c>
      <c r="M91" s="843">
        <v>12</v>
      </c>
      <c r="N91" s="164">
        <v>5400000</v>
      </c>
      <c r="O91" s="843">
        <v>12</v>
      </c>
      <c r="P91" s="164">
        <v>5800000</v>
      </c>
      <c r="Q91" s="843">
        <v>12</v>
      </c>
      <c r="R91" s="164">
        <v>6200000</v>
      </c>
      <c r="S91" s="843">
        <v>12</v>
      </c>
      <c r="T91" s="164">
        <v>6600000</v>
      </c>
      <c r="U91" s="843">
        <v>12</v>
      </c>
      <c r="V91" s="164">
        <v>6600000</v>
      </c>
      <c r="W91" s="842"/>
      <c r="X91" s="164"/>
      <c r="Y91" s="837" t="s">
        <v>1535</v>
      </c>
    </row>
    <row r="92" spans="2:25" ht="38.25" x14ac:dyDescent="0.25">
      <c r="B92" s="229"/>
      <c r="C92" s="675"/>
      <c r="D92" s="675"/>
      <c r="E92" s="675"/>
      <c r="F92" s="675"/>
      <c r="G92" s="173" t="s">
        <v>1975</v>
      </c>
      <c r="H92" s="173" t="s">
        <v>1976</v>
      </c>
      <c r="I92" s="165" t="s">
        <v>1633</v>
      </c>
      <c r="J92" s="843">
        <v>4140</v>
      </c>
      <c r="K92" s="843">
        <v>2300</v>
      </c>
      <c r="L92" s="164">
        <v>5574100</v>
      </c>
      <c r="M92" s="843">
        <v>2300</v>
      </c>
      <c r="N92" s="164">
        <v>5574100</v>
      </c>
      <c r="O92" s="843">
        <v>2300</v>
      </c>
      <c r="P92" s="164">
        <v>5574100</v>
      </c>
      <c r="Q92" s="843">
        <v>2300</v>
      </c>
      <c r="R92" s="164">
        <v>5574100</v>
      </c>
      <c r="S92" s="843">
        <v>2300</v>
      </c>
      <c r="T92" s="164">
        <v>5574100</v>
      </c>
      <c r="U92" s="843">
        <v>2300</v>
      </c>
      <c r="V92" s="164">
        <v>5574100</v>
      </c>
      <c r="W92" s="842"/>
      <c r="X92" s="164"/>
      <c r="Y92" s="837" t="s">
        <v>1535</v>
      </c>
    </row>
    <row r="93" spans="2:25" x14ac:dyDescent="0.25">
      <c r="B93" s="229"/>
      <c r="C93" s="1164"/>
      <c r="D93" s="1164"/>
      <c r="E93" s="1164"/>
      <c r="F93" s="674"/>
      <c r="G93" s="173"/>
      <c r="H93" s="173"/>
      <c r="I93" s="165"/>
      <c r="J93" s="843"/>
      <c r="K93" s="843"/>
      <c r="L93" s="164"/>
      <c r="M93" s="843"/>
      <c r="N93" s="164"/>
      <c r="O93" s="843"/>
      <c r="P93" s="164"/>
      <c r="Q93" s="843"/>
      <c r="R93" s="164"/>
      <c r="S93" s="843"/>
      <c r="T93" s="164"/>
      <c r="U93" s="843"/>
      <c r="V93" s="164"/>
      <c r="W93" s="842"/>
      <c r="X93" s="164"/>
      <c r="Y93" s="837" t="s">
        <v>1535</v>
      </c>
    </row>
    <row r="94" spans="2:25" s="219" customFormat="1" ht="93.75" customHeight="1" x14ac:dyDescent="0.2">
      <c r="B94" s="1769"/>
      <c r="C94" s="685" t="s">
        <v>755</v>
      </c>
      <c r="D94" s="685" t="s">
        <v>3941</v>
      </c>
      <c r="E94" s="685" t="s">
        <v>3983</v>
      </c>
      <c r="F94" s="685" t="s">
        <v>756</v>
      </c>
      <c r="G94" s="976" t="s">
        <v>3138</v>
      </c>
      <c r="H94" s="685" t="s">
        <v>1559</v>
      </c>
      <c r="I94" s="220" t="s">
        <v>19</v>
      </c>
      <c r="J94" s="836">
        <v>75</v>
      </c>
      <c r="K94" s="836">
        <v>75</v>
      </c>
      <c r="L94" s="1073"/>
      <c r="M94" s="836">
        <v>75</v>
      </c>
      <c r="N94" s="1073"/>
      <c r="O94" s="836">
        <v>75</v>
      </c>
      <c r="P94" s="1073"/>
      <c r="Q94" s="836">
        <v>75</v>
      </c>
      <c r="R94" s="1073"/>
      <c r="S94" s="836">
        <v>75</v>
      </c>
      <c r="T94" s="1073"/>
      <c r="U94" s="836">
        <v>75</v>
      </c>
      <c r="V94" s="1073"/>
      <c r="W94" s="835">
        <v>75</v>
      </c>
      <c r="X94" s="1073"/>
      <c r="Y94" s="1770" t="s">
        <v>1535</v>
      </c>
    </row>
    <row r="95" spans="2:25" ht="48" x14ac:dyDescent="0.25">
      <c r="B95" s="229"/>
      <c r="C95" s="674"/>
      <c r="D95" s="674"/>
      <c r="E95" s="674"/>
      <c r="F95" s="674"/>
      <c r="G95" s="171" t="s">
        <v>3071</v>
      </c>
      <c r="H95" s="170" t="s">
        <v>1559</v>
      </c>
      <c r="I95" s="169" t="s">
        <v>19</v>
      </c>
      <c r="J95" s="839">
        <v>75</v>
      </c>
      <c r="K95" s="839">
        <v>75</v>
      </c>
      <c r="L95" s="855">
        <f>SUM(L96)</f>
        <v>100000</v>
      </c>
      <c r="M95" s="839">
        <v>75</v>
      </c>
      <c r="N95" s="855">
        <f>SUM(N96)</f>
        <v>100000</v>
      </c>
      <c r="O95" s="839">
        <v>75</v>
      </c>
      <c r="P95" s="855">
        <f>SUM(P96)</f>
        <v>100000</v>
      </c>
      <c r="Q95" s="836">
        <v>75</v>
      </c>
      <c r="R95" s="855">
        <f>SUM(R96)</f>
        <v>100000</v>
      </c>
      <c r="S95" s="836">
        <v>75</v>
      </c>
      <c r="T95" s="855">
        <f>SUM(T96)</f>
        <v>100000</v>
      </c>
      <c r="U95" s="836">
        <v>75</v>
      </c>
      <c r="V95" s="855">
        <f>SUM(V96)</f>
        <v>100000</v>
      </c>
      <c r="W95" s="835">
        <v>75</v>
      </c>
      <c r="X95" s="668"/>
      <c r="Y95" s="837" t="s">
        <v>1535</v>
      </c>
    </row>
    <row r="96" spans="2:25" ht="76.5" x14ac:dyDescent="0.25">
      <c r="B96" s="229"/>
      <c r="C96" s="674"/>
      <c r="D96" s="674"/>
      <c r="E96" s="674"/>
      <c r="F96" s="674"/>
      <c r="G96" s="673" t="s">
        <v>1933</v>
      </c>
      <c r="H96" s="673" t="s">
        <v>1934</v>
      </c>
      <c r="I96" s="165" t="s">
        <v>100</v>
      </c>
      <c r="J96" s="843"/>
      <c r="K96" s="843">
        <v>500</v>
      </c>
      <c r="L96" s="164">
        <v>100000</v>
      </c>
      <c r="M96" s="843">
        <v>100</v>
      </c>
      <c r="N96" s="164">
        <v>100000</v>
      </c>
      <c r="O96" s="843">
        <v>100</v>
      </c>
      <c r="P96" s="164">
        <v>100000</v>
      </c>
      <c r="Q96" s="843">
        <v>100</v>
      </c>
      <c r="R96" s="164">
        <v>100000</v>
      </c>
      <c r="S96" s="843">
        <v>100</v>
      </c>
      <c r="T96" s="164">
        <v>100000</v>
      </c>
      <c r="U96" s="843">
        <v>100</v>
      </c>
      <c r="V96" s="164">
        <v>100000</v>
      </c>
      <c r="W96" s="842">
        <v>900</v>
      </c>
      <c r="X96" s="164"/>
      <c r="Y96" s="837" t="s">
        <v>1535</v>
      </c>
    </row>
    <row r="97" spans="2:25" x14ac:dyDescent="0.25">
      <c r="B97" s="229"/>
      <c r="C97" s="674"/>
      <c r="D97" s="675"/>
      <c r="E97" s="675"/>
      <c r="F97" s="675"/>
      <c r="G97" s="673"/>
      <c r="H97" s="673"/>
      <c r="I97" s="933"/>
      <c r="J97" s="941"/>
      <c r="K97" s="941"/>
      <c r="L97" s="943"/>
      <c r="M97" s="941"/>
      <c r="N97" s="943"/>
      <c r="O97" s="941"/>
      <c r="P97" s="943"/>
      <c r="Q97" s="941"/>
      <c r="R97" s="942"/>
      <c r="S97" s="941"/>
      <c r="T97" s="942"/>
      <c r="U97" s="843"/>
      <c r="V97" s="164"/>
      <c r="W97" s="842"/>
      <c r="X97" s="164"/>
      <c r="Y97" s="837" t="s">
        <v>1535</v>
      </c>
    </row>
    <row r="98" spans="2:25" s="219" customFormat="1" ht="60" x14ac:dyDescent="0.2">
      <c r="B98" s="229"/>
      <c r="C98" s="674"/>
      <c r="D98" s="685" t="s">
        <v>3984</v>
      </c>
      <c r="E98" s="685" t="s">
        <v>3985</v>
      </c>
      <c r="F98" s="685" t="s">
        <v>3970</v>
      </c>
      <c r="G98" s="976" t="s">
        <v>3969</v>
      </c>
      <c r="H98" s="218"/>
      <c r="I98" s="220" t="s">
        <v>19</v>
      </c>
      <c r="J98" s="982">
        <v>14.854922279792749</v>
      </c>
      <c r="K98" s="844">
        <v>15.502590673575131</v>
      </c>
      <c r="L98" s="218"/>
      <c r="M98" s="836">
        <v>16.668393782383419</v>
      </c>
      <c r="N98" s="218"/>
      <c r="O98" s="836">
        <v>16.927461139896373</v>
      </c>
      <c r="P98" s="861"/>
      <c r="Q98" s="1776">
        <v>17.445595854922281</v>
      </c>
      <c r="R98" s="861"/>
      <c r="S98" s="693">
        <v>17.445595854922281</v>
      </c>
      <c r="T98" s="861"/>
      <c r="U98" s="1776">
        <v>17.445595854922281</v>
      </c>
      <c r="V98" s="861"/>
      <c r="W98" s="1776">
        <v>17.445595854922281</v>
      </c>
      <c r="X98" s="668"/>
      <c r="Y98" s="837" t="s">
        <v>1535</v>
      </c>
    </row>
    <row r="99" spans="2:25" ht="48" customHeight="1" x14ac:dyDescent="0.25">
      <c r="B99" s="229"/>
      <c r="C99" s="674"/>
      <c r="D99" s="674"/>
      <c r="E99" s="674"/>
      <c r="F99" s="170"/>
      <c r="G99" s="685" t="s">
        <v>1616</v>
      </c>
      <c r="H99" s="685" t="s">
        <v>1617</v>
      </c>
      <c r="I99" s="686" t="s">
        <v>1413</v>
      </c>
      <c r="J99" s="836"/>
      <c r="K99" s="836">
        <v>1</v>
      </c>
      <c r="L99" s="668">
        <f>SUM(L100:L102)</f>
        <v>7850000</v>
      </c>
      <c r="M99" s="836">
        <v>1</v>
      </c>
      <c r="N99" s="668">
        <f>SUM(N100:N102)</f>
        <v>8350000</v>
      </c>
      <c r="O99" s="836">
        <v>1</v>
      </c>
      <c r="P99" s="668">
        <f>SUM(P100:P102)</f>
        <v>9900000</v>
      </c>
      <c r="Q99" s="836">
        <v>1</v>
      </c>
      <c r="R99" s="668">
        <f>SUM(R100:R102)</f>
        <v>10450000</v>
      </c>
      <c r="S99" s="836">
        <v>1</v>
      </c>
      <c r="T99" s="668">
        <f>SUM(T100:T102)</f>
        <v>12000000</v>
      </c>
      <c r="U99" s="836">
        <v>1</v>
      </c>
      <c r="V99" s="668">
        <f>SUM(V100:V102)</f>
        <v>12000000</v>
      </c>
      <c r="W99" s="835">
        <v>5</v>
      </c>
      <c r="X99" s="668"/>
      <c r="Y99" s="837" t="s">
        <v>1535</v>
      </c>
    </row>
    <row r="100" spans="2:25" ht="51" x14ac:dyDescent="0.25">
      <c r="B100" s="229"/>
      <c r="C100" s="674"/>
      <c r="D100" s="674"/>
      <c r="E100" s="674"/>
      <c r="F100" s="674"/>
      <c r="G100" s="173" t="s">
        <v>1935</v>
      </c>
      <c r="H100" s="173" t="s">
        <v>1936</v>
      </c>
      <c r="I100" s="165" t="s">
        <v>79</v>
      </c>
      <c r="J100" s="843"/>
      <c r="K100" s="843">
        <v>4</v>
      </c>
      <c r="L100" s="164">
        <v>350000</v>
      </c>
      <c r="M100" s="843">
        <v>4</v>
      </c>
      <c r="N100" s="164">
        <v>350000</v>
      </c>
      <c r="O100" s="843">
        <v>4</v>
      </c>
      <c r="P100" s="164">
        <v>400000</v>
      </c>
      <c r="Q100" s="843">
        <v>4</v>
      </c>
      <c r="R100" s="164">
        <v>450000</v>
      </c>
      <c r="S100" s="843">
        <v>4</v>
      </c>
      <c r="T100" s="164">
        <v>500000</v>
      </c>
      <c r="U100" s="843">
        <v>4</v>
      </c>
      <c r="V100" s="164">
        <v>500000</v>
      </c>
      <c r="W100" s="842">
        <v>20</v>
      </c>
      <c r="X100" s="164"/>
      <c r="Y100" s="837" t="s">
        <v>1535</v>
      </c>
    </row>
    <row r="101" spans="2:25" ht="25.5" x14ac:dyDescent="0.25">
      <c r="B101" s="229"/>
      <c r="C101" s="674"/>
      <c r="D101" s="674"/>
      <c r="E101" s="674"/>
      <c r="F101" s="674"/>
      <c r="G101" s="173" t="s">
        <v>1937</v>
      </c>
      <c r="H101" s="173" t="s">
        <v>1938</v>
      </c>
      <c r="I101" s="165" t="s">
        <v>75</v>
      </c>
      <c r="J101" s="843"/>
      <c r="K101" s="843">
        <v>2</v>
      </c>
      <c r="L101" s="164">
        <v>4000000</v>
      </c>
      <c r="M101" s="843">
        <v>2</v>
      </c>
      <c r="N101" s="164">
        <v>4000000</v>
      </c>
      <c r="O101" s="843">
        <v>2</v>
      </c>
      <c r="P101" s="164">
        <v>5000000</v>
      </c>
      <c r="Q101" s="843">
        <v>2</v>
      </c>
      <c r="R101" s="164">
        <v>5000000</v>
      </c>
      <c r="S101" s="843">
        <v>2</v>
      </c>
      <c r="T101" s="164">
        <v>6000000</v>
      </c>
      <c r="U101" s="843">
        <v>2</v>
      </c>
      <c r="V101" s="164">
        <v>6000000</v>
      </c>
      <c r="W101" s="842">
        <v>10</v>
      </c>
      <c r="X101" s="164"/>
      <c r="Y101" s="837" t="s">
        <v>1535</v>
      </c>
    </row>
    <row r="102" spans="2:25" ht="25.5" x14ac:dyDescent="0.25">
      <c r="B102" s="229"/>
      <c r="C102" s="674"/>
      <c r="D102" s="674"/>
      <c r="E102" s="674"/>
      <c r="F102" s="674"/>
      <c r="G102" s="173" t="s">
        <v>1939</v>
      </c>
      <c r="H102" s="173" t="s">
        <v>1940</v>
      </c>
      <c r="I102" s="165" t="s">
        <v>75</v>
      </c>
      <c r="J102" s="843"/>
      <c r="K102" s="843">
        <v>12</v>
      </c>
      <c r="L102" s="164">
        <v>3500000</v>
      </c>
      <c r="M102" s="843">
        <v>12</v>
      </c>
      <c r="N102" s="164">
        <v>4000000</v>
      </c>
      <c r="O102" s="843">
        <v>12</v>
      </c>
      <c r="P102" s="164">
        <v>4500000</v>
      </c>
      <c r="Q102" s="843">
        <v>12</v>
      </c>
      <c r="R102" s="164">
        <v>5000000</v>
      </c>
      <c r="S102" s="843">
        <v>12</v>
      </c>
      <c r="T102" s="164">
        <v>5500000</v>
      </c>
      <c r="U102" s="843">
        <v>12</v>
      </c>
      <c r="V102" s="164">
        <v>5500000</v>
      </c>
      <c r="W102" s="842">
        <v>60</v>
      </c>
      <c r="X102" s="164"/>
      <c r="Y102" s="837" t="s">
        <v>1535</v>
      </c>
    </row>
    <row r="103" spans="2:25" x14ac:dyDescent="0.25">
      <c r="B103" s="229"/>
      <c r="C103" s="674"/>
      <c r="D103" s="674"/>
      <c r="E103" s="674"/>
      <c r="F103" s="674"/>
      <c r="G103" s="173"/>
      <c r="H103" s="167"/>
      <c r="I103" s="1755"/>
      <c r="J103" s="843"/>
      <c r="K103" s="843"/>
      <c r="L103" s="943"/>
      <c r="M103" s="843"/>
      <c r="N103" s="943"/>
      <c r="O103" s="843"/>
      <c r="P103" s="1754"/>
      <c r="Q103" s="843"/>
      <c r="R103" s="1754"/>
      <c r="S103" s="843"/>
      <c r="T103" s="1754"/>
      <c r="U103" s="843"/>
      <c r="V103" s="1754"/>
      <c r="W103" s="842"/>
      <c r="X103" s="1754"/>
      <c r="Y103" s="837"/>
    </row>
    <row r="104" spans="2:25" s="219" customFormat="1" ht="96" x14ac:dyDescent="0.2">
      <c r="B104" s="229"/>
      <c r="C104" s="674"/>
      <c r="D104" s="685" t="s">
        <v>3986</v>
      </c>
      <c r="E104" s="685" t="s">
        <v>3987</v>
      </c>
      <c r="F104" s="685" t="s">
        <v>3964</v>
      </c>
      <c r="G104" s="976" t="s">
        <v>3962</v>
      </c>
      <c r="I104" s="220" t="s">
        <v>19</v>
      </c>
      <c r="J104" s="223">
        <v>100</v>
      </c>
      <c r="K104" s="223">
        <f>100-16.67</f>
        <v>83.33</v>
      </c>
      <c r="M104" s="707">
        <f>100-33.3333333333333</f>
        <v>66.6666666666667</v>
      </c>
      <c r="O104" s="707">
        <v>50</v>
      </c>
      <c r="P104" s="223"/>
      <c r="Q104" s="223">
        <f>100-66.6666666666667</f>
        <v>33.3333333333333</v>
      </c>
      <c r="R104" s="861"/>
      <c r="S104" s="836">
        <f>100-83.3333333333333</f>
        <v>16.6666666666667</v>
      </c>
      <c r="T104" s="861"/>
      <c r="U104" s="223">
        <f>100-95</f>
        <v>5</v>
      </c>
      <c r="V104" s="861"/>
      <c r="W104" s="223">
        <v>5</v>
      </c>
      <c r="X104" s="1073"/>
      <c r="Y104" s="837"/>
    </row>
    <row r="105" spans="2:25" ht="60" x14ac:dyDescent="0.25">
      <c r="B105" s="229"/>
      <c r="C105" s="674"/>
      <c r="D105" s="674"/>
      <c r="E105" s="674"/>
      <c r="F105" s="170"/>
      <c r="G105" s="685" t="s">
        <v>1619</v>
      </c>
      <c r="H105" s="685" t="s">
        <v>1618</v>
      </c>
      <c r="I105" s="686" t="s">
        <v>19</v>
      </c>
      <c r="J105" s="836">
        <v>0</v>
      </c>
      <c r="K105" s="836">
        <v>16.670000000000002</v>
      </c>
      <c r="L105" s="668">
        <f>SUM(L106)</f>
        <v>1750000</v>
      </c>
      <c r="M105" s="836">
        <v>33.33</v>
      </c>
      <c r="N105" s="668">
        <f>SUM(N106)</f>
        <v>2000000</v>
      </c>
      <c r="O105" s="836">
        <v>50</v>
      </c>
      <c r="P105" s="668">
        <f>SUM(P106)</f>
        <v>2500000</v>
      </c>
      <c r="Q105" s="836">
        <v>66.67</v>
      </c>
      <c r="R105" s="668">
        <f>SUM(R106)</f>
        <v>3000000</v>
      </c>
      <c r="S105" s="836">
        <v>83.33</v>
      </c>
      <c r="T105" s="668">
        <f>SUM(T106)</f>
        <v>3500000</v>
      </c>
      <c r="U105" s="836">
        <v>83.33</v>
      </c>
      <c r="V105" s="668">
        <f>SUM(V106)</f>
        <v>3500000</v>
      </c>
      <c r="W105" s="835">
        <v>100</v>
      </c>
      <c r="X105" s="668"/>
      <c r="Y105" s="837" t="s">
        <v>1535</v>
      </c>
    </row>
    <row r="106" spans="2:25" ht="51" x14ac:dyDescent="0.25">
      <c r="B106" s="229"/>
      <c r="C106" s="674"/>
      <c r="D106" s="674"/>
      <c r="E106" s="674"/>
      <c r="F106" s="667"/>
      <c r="G106" s="673" t="s">
        <v>1941</v>
      </c>
      <c r="H106" s="673" t="s">
        <v>1942</v>
      </c>
      <c r="I106" s="933" t="s">
        <v>1416</v>
      </c>
      <c r="J106" s="941">
        <v>213.62</v>
      </c>
      <c r="K106" s="941">
        <v>35.6</v>
      </c>
      <c r="L106" s="942">
        <v>1750000</v>
      </c>
      <c r="M106" s="941">
        <v>71.209999999999994</v>
      </c>
      <c r="N106" s="942">
        <v>2000000</v>
      </c>
      <c r="O106" s="941">
        <v>106.81</v>
      </c>
      <c r="P106" s="942">
        <v>2500000</v>
      </c>
      <c r="Q106" s="941">
        <v>142.41</v>
      </c>
      <c r="R106" s="942">
        <v>3000000</v>
      </c>
      <c r="S106" s="941">
        <v>178.02</v>
      </c>
      <c r="T106" s="942">
        <v>3500000</v>
      </c>
      <c r="U106" s="941">
        <v>178.02</v>
      </c>
      <c r="V106" s="942">
        <v>3500000</v>
      </c>
      <c r="W106" s="1771">
        <v>213.62</v>
      </c>
      <c r="X106" s="942"/>
      <c r="Y106" s="837" t="s">
        <v>1535</v>
      </c>
    </row>
    <row r="107" spans="2:25" x14ac:dyDescent="0.25">
      <c r="B107" s="229"/>
      <c r="C107" s="674"/>
      <c r="D107" s="674"/>
      <c r="E107" s="674"/>
      <c r="F107" s="1752"/>
      <c r="G107" s="173"/>
      <c r="H107" s="173"/>
      <c r="I107" s="1755"/>
      <c r="J107" s="843"/>
      <c r="K107" s="843"/>
      <c r="L107" s="1754"/>
      <c r="M107" s="843"/>
      <c r="N107" s="1754"/>
      <c r="O107" s="843"/>
      <c r="P107" s="1754"/>
      <c r="Q107" s="843"/>
      <c r="R107" s="1754"/>
      <c r="S107" s="843"/>
      <c r="T107" s="1754"/>
      <c r="U107" s="843"/>
      <c r="V107" s="1754"/>
      <c r="W107" s="842"/>
      <c r="X107" s="1754"/>
      <c r="Y107" s="837"/>
    </row>
    <row r="108" spans="2:25" s="219" customFormat="1" ht="60" x14ac:dyDescent="0.2">
      <c r="B108" s="1769"/>
      <c r="C108" s="170"/>
      <c r="D108" s="685" t="s">
        <v>3990</v>
      </c>
      <c r="E108" s="685" t="s">
        <v>3991</v>
      </c>
      <c r="F108" s="685" t="s">
        <v>3989</v>
      </c>
      <c r="G108" s="1755" t="s">
        <v>3988</v>
      </c>
      <c r="H108" s="1791"/>
      <c r="I108" s="220" t="s">
        <v>19</v>
      </c>
      <c r="J108" s="844">
        <v>42.44</v>
      </c>
      <c r="K108" s="1778">
        <v>42.54</v>
      </c>
      <c r="L108" s="222"/>
      <c r="M108" s="844">
        <v>42.67</v>
      </c>
      <c r="N108" s="222"/>
      <c r="O108" s="844">
        <v>42.74</v>
      </c>
      <c r="P108" s="222"/>
      <c r="Q108" s="844">
        <v>42.84</v>
      </c>
      <c r="R108" s="222"/>
      <c r="S108" s="844">
        <v>42.94</v>
      </c>
      <c r="T108" s="222"/>
      <c r="U108" s="844">
        <v>42.94</v>
      </c>
      <c r="V108" s="222"/>
      <c r="W108" s="835">
        <v>42.94</v>
      </c>
      <c r="X108" s="1073"/>
      <c r="Y108" s="1770"/>
    </row>
    <row r="109" spans="2:25" ht="36" x14ac:dyDescent="0.25">
      <c r="B109" s="229"/>
      <c r="C109" s="674"/>
      <c r="D109" s="674"/>
      <c r="E109" s="674"/>
      <c r="F109" s="170"/>
      <c r="G109" s="685" t="s">
        <v>1621</v>
      </c>
      <c r="H109" s="685" t="s">
        <v>1620</v>
      </c>
      <c r="I109" s="220" t="s">
        <v>19</v>
      </c>
      <c r="J109" s="844">
        <v>42.44</v>
      </c>
      <c r="K109" s="1778">
        <v>42.54</v>
      </c>
      <c r="L109" s="222">
        <f>SUM(L110:L115)</f>
        <v>14770000</v>
      </c>
      <c r="M109" s="844">
        <v>42.67</v>
      </c>
      <c r="N109" s="222">
        <f>SUM(N110:N115)</f>
        <v>16220000</v>
      </c>
      <c r="O109" s="844">
        <v>42.74</v>
      </c>
      <c r="P109" s="222">
        <f>SUM(P110:P115)</f>
        <v>16600000</v>
      </c>
      <c r="Q109" s="844">
        <v>42.84</v>
      </c>
      <c r="R109" s="222">
        <f>SUM(R110:R115)</f>
        <v>17100000</v>
      </c>
      <c r="S109" s="844">
        <v>42.94</v>
      </c>
      <c r="T109" s="222">
        <f>SUM(T110:T115)</f>
        <v>17500000</v>
      </c>
      <c r="U109" s="844">
        <v>42.94</v>
      </c>
      <c r="V109" s="222">
        <f>SUM(V110:V115)</f>
        <v>17500000</v>
      </c>
      <c r="W109" s="835">
        <v>42.94</v>
      </c>
      <c r="X109" s="1073"/>
      <c r="Y109" s="837" t="s">
        <v>1535</v>
      </c>
    </row>
    <row r="110" spans="2:25" ht="26.25" customHeight="1" x14ac:dyDescent="0.25">
      <c r="B110" s="229"/>
      <c r="C110" s="674"/>
      <c r="D110" s="674"/>
      <c r="E110" s="674"/>
      <c r="F110" s="674"/>
      <c r="G110" s="675" t="s">
        <v>1943</v>
      </c>
      <c r="H110" s="1777" t="s">
        <v>1944</v>
      </c>
      <c r="I110" s="1253"/>
      <c r="J110" s="1772">
        <v>10</v>
      </c>
      <c r="K110" s="1772">
        <v>10</v>
      </c>
      <c r="L110" s="858">
        <v>12770000</v>
      </c>
      <c r="M110" s="1772">
        <v>10</v>
      </c>
      <c r="N110" s="858">
        <v>12770000</v>
      </c>
      <c r="O110" s="1772">
        <v>10</v>
      </c>
      <c r="P110" s="858">
        <v>13000000</v>
      </c>
      <c r="Q110" s="1772">
        <v>10</v>
      </c>
      <c r="R110" s="858">
        <v>13250000</v>
      </c>
      <c r="S110" s="1772">
        <v>10</v>
      </c>
      <c r="T110" s="858">
        <v>13500000</v>
      </c>
      <c r="U110" s="1772">
        <v>10</v>
      </c>
      <c r="V110" s="858">
        <v>13500000</v>
      </c>
      <c r="W110" s="1773">
        <v>50</v>
      </c>
      <c r="X110" s="1630"/>
      <c r="Y110" s="837" t="s">
        <v>1535</v>
      </c>
    </row>
    <row r="111" spans="2:25" x14ac:dyDescent="0.25">
      <c r="B111" s="229"/>
      <c r="C111" s="674"/>
      <c r="D111" s="674"/>
      <c r="E111" s="674"/>
      <c r="F111" s="674"/>
      <c r="G111" s="173"/>
      <c r="H111" s="161" t="s">
        <v>1945</v>
      </c>
      <c r="I111" s="165"/>
      <c r="J111" s="843">
        <v>1</v>
      </c>
      <c r="K111" s="843">
        <v>1</v>
      </c>
      <c r="L111" s="858"/>
      <c r="M111" s="843">
        <v>1</v>
      </c>
      <c r="N111" s="858"/>
      <c r="O111" s="843">
        <v>1</v>
      </c>
      <c r="P111" s="858"/>
      <c r="Q111" s="843">
        <v>1</v>
      </c>
      <c r="R111" s="858"/>
      <c r="S111" s="843">
        <v>1</v>
      </c>
      <c r="T111" s="858"/>
      <c r="U111" s="843">
        <v>1</v>
      </c>
      <c r="V111" s="858"/>
      <c r="W111" s="842">
        <v>5</v>
      </c>
      <c r="X111" s="164"/>
      <c r="Y111" s="837" t="s">
        <v>1535</v>
      </c>
    </row>
    <row r="112" spans="2:25" x14ac:dyDescent="0.25">
      <c r="B112" s="229"/>
      <c r="C112" s="674"/>
      <c r="D112" s="674"/>
      <c r="E112" s="674"/>
      <c r="F112" s="674"/>
      <c r="G112" s="173"/>
      <c r="H112" s="161" t="s">
        <v>1946</v>
      </c>
      <c r="I112" s="165"/>
      <c r="J112" s="843">
        <v>0</v>
      </c>
      <c r="K112" s="843">
        <v>2</v>
      </c>
      <c r="L112" s="858"/>
      <c r="M112" s="843">
        <v>2</v>
      </c>
      <c r="N112" s="858"/>
      <c r="O112" s="843">
        <v>2</v>
      </c>
      <c r="P112" s="858"/>
      <c r="Q112" s="843">
        <v>2</v>
      </c>
      <c r="R112" s="858"/>
      <c r="S112" s="843">
        <v>2</v>
      </c>
      <c r="T112" s="858"/>
      <c r="U112" s="843">
        <v>2</v>
      </c>
      <c r="V112" s="858"/>
      <c r="W112" s="842">
        <v>10</v>
      </c>
      <c r="X112" s="164"/>
      <c r="Y112" s="837" t="s">
        <v>1535</v>
      </c>
    </row>
    <row r="113" spans="2:31" x14ac:dyDescent="0.25">
      <c r="B113" s="229"/>
      <c r="C113" s="674"/>
      <c r="D113" s="674"/>
      <c r="E113" s="674"/>
      <c r="F113" s="674"/>
      <c r="G113" s="173"/>
      <c r="H113" s="173" t="s">
        <v>1947</v>
      </c>
      <c r="I113" s="165"/>
      <c r="J113" s="843">
        <v>0</v>
      </c>
      <c r="K113" s="843">
        <v>2</v>
      </c>
      <c r="L113" s="859"/>
      <c r="M113" s="843">
        <v>2</v>
      </c>
      <c r="N113" s="859"/>
      <c r="O113" s="843">
        <v>2</v>
      </c>
      <c r="P113" s="859"/>
      <c r="Q113" s="843">
        <v>2</v>
      </c>
      <c r="R113" s="859"/>
      <c r="S113" s="843">
        <v>2</v>
      </c>
      <c r="T113" s="859"/>
      <c r="U113" s="843">
        <v>2</v>
      </c>
      <c r="V113" s="859"/>
      <c r="W113" s="842">
        <v>10</v>
      </c>
      <c r="X113" s="164"/>
      <c r="Y113" s="837" t="s">
        <v>1535</v>
      </c>
    </row>
    <row r="114" spans="2:31" ht="89.25" x14ac:dyDescent="0.25">
      <c r="B114" s="229"/>
      <c r="C114" s="674"/>
      <c r="D114" s="674"/>
      <c r="E114" s="674"/>
      <c r="F114" s="674"/>
      <c r="G114" s="173" t="s">
        <v>1948</v>
      </c>
      <c r="H114" s="173" t="s">
        <v>1949</v>
      </c>
      <c r="I114" s="165" t="s">
        <v>1950</v>
      </c>
      <c r="J114" s="843">
        <v>60</v>
      </c>
      <c r="K114" s="843">
        <v>12</v>
      </c>
      <c r="L114" s="164">
        <v>2000000</v>
      </c>
      <c r="M114" s="843">
        <v>12</v>
      </c>
      <c r="N114" s="164">
        <v>3300000</v>
      </c>
      <c r="O114" s="843">
        <v>12</v>
      </c>
      <c r="P114" s="164">
        <v>3400000</v>
      </c>
      <c r="Q114" s="843">
        <v>12</v>
      </c>
      <c r="R114" s="164">
        <v>3600000</v>
      </c>
      <c r="S114" s="843">
        <v>12</v>
      </c>
      <c r="T114" s="164">
        <v>3700000</v>
      </c>
      <c r="U114" s="843">
        <v>12</v>
      </c>
      <c r="V114" s="164">
        <v>3700000</v>
      </c>
      <c r="W114" s="842">
        <v>60</v>
      </c>
      <c r="X114" s="164"/>
      <c r="Y114" s="837" t="s">
        <v>1535</v>
      </c>
    </row>
    <row r="115" spans="2:31" ht="63.75" x14ac:dyDescent="0.25">
      <c r="B115" s="229"/>
      <c r="C115" s="674"/>
      <c r="D115" s="674"/>
      <c r="E115" s="674"/>
      <c r="F115" s="674"/>
      <c r="G115" s="173" t="s">
        <v>1951</v>
      </c>
      <c r="H115" s="173" t="s">
        <v>1952</v>
      </c>
      <c r="I115" s="165" t="s">
        <v>100</v>
      </c>
      <c r="J115" s="843">
        <v>10</v>
      </c>
      <c r="K115" s="843">
        <v>0</v>
      </c>
      <c r="L115" s="164">
        <v>0</v>
      </c>
      <c r="M115" s="843">
        <v>10</v>
      </c>
      <c r="N115" s="164">
        <v>150000</v>
      </c>
      <c r="O115" s="843">
        <v>10</v>
      </c>
      <c r="P115" s="164">
        <v>200000</v>
      </c>
      <c r="Q115" s="843">
        <v>10</v>
      </c>
      <c r="R115" s="164">
        <v>250000</v>
      </c>
      <c r="S115" s="843">
        <v>10</v>
      </c>
      <c r="T115" s="164">
        <v>300000</v>
      </c>
      <c r="U115" s="843">
        <v>10</v>
      </c>
      <c r="V115" s="164">
        <v>300000</v>
      </c>
      <c r="W115" s="842">
        <v>40</v>
      </c>
      <c r="X115" s="164"/>
      <c r="Y115" s="837" t="s">
        <v>1535</v>
      </c>
    </row>
    <row r="116" spans="2:31" ht="48" customHeight="1" x14ac:dyDescent="0.25">
      <c r="B116" s="229"/>
      <c r="C116" s="674"/>
      <c r="D116" s="674"/>
      <c r="E116" s="674"/>
      <c r="F116" s="170"/>
      <c r="G116" s="685" t="s">
        <v>1630</v>
      </c>
      <c r="H116" s="685" t="s">
        <v>1629</v>
      </c>
      <c r="I116" s="686" t="s">
        <v>1413</v>
      </c>
      <c r="J116" s="836"/>
      <c r="K116" s="836">
        <v>0</v>
      </c>
      <c r="L116" s="668">
        <f>SUM(L117:L118)</f>
        <v>0</v>
      </c>
      <c r="M116" s="836">
        <v>2</v>
      </c>
      <c r="N116" s="668">
        <f>SUM(N117:N118)</f>
        <v>1200000</v>
      </c>
      <c r="O116" s="836">
        <v>2</v>
      </c>
      <c r="P116" s="668">
        <f>SUM(P117:P118)</f>
        <v>1200000</v>
      </c>
      <c r="Q116" s="836">
        <v>2</v>
      </c>
      <c r="R116" s="668">
        <f>SUM(R117:R118)</f>
        <v>1200000</v>
      </c>
      <c r="S116" s="836">
        <v>2</v>
      </c>
      <c r="T116" s="668">
        <f>SUM(T117:T118)</f>
        <v>1200000</v>
      </c>
      <c r="U116" s="836">
        <v>2</v>
      </c>
      <c r="V116" s="668">
        <f>SUM(V117:V118)</f>
        <v>1200000</v>
      </c>
      <c r="W116" s="835">
        <v>8</v>
      </c>
      <c r="X116" s="668"/>
      <c r="Y116" s="837" t="s">
        <v>1535</v>
      </c>
    </row>
    <row r="117" spans="2:31" ht="38.25" x14ac:dyDescent="0.25">
      <c r="B117" s="229"/>
      <c r="C117" s="674"/>
      <c r="D117" s="674"/>
      <c r="E117" s="674"/>
      <c r="F117" s="674"/>
      <c r="G117" s="173" t="s">
        <v>1965</v>
      </c>
      <c r="H117" s="173" t="s">
        <v>1966</v>
      </c>
      <c r="I117" s="165" t="s">
        <v>1413</v>
      </c>
      <c r="J117" s="843"/>
      <c r="K117" s="843"/>
      <c r="L117" s="164"/>
      <c r="M117" s="843">
        <v>2</v>
      </c>
      <c r="N117" s="164">
        <v>1000000</v>
      </c>
      <c r="O117" s="843">
        <v>2</v>
      </c>
      <c r="P117" s="164">
        <v>1000000</v>
      </c>
      <c r="Q117" s="843">
        <v>2</v>
      </c>
      <c r="R117" s="164">
        <v>1000000</v>
      </c>
      <c r="S117" s="843">
        <v>2</v>
      </c>
      <c r="T117" s="164">
        <v>1000000</v>
      </c>
      <c r="U117" s="843">
        <v>2</v>
      </c>
      <c r="V117" s="164">
        <v>1000000</v>
      </c>
      <c r="W117" s="842">
        <v>8</v>
      </c>
      <c r="X117" s="164"/>
      <c r="Y117" s="837" t="s">
        <v>1535</v>
      </c>
    </row>
    <row r="118" spans="2:31" ht="38.25" x14ac:dyDescent="0.25">
      <c r="B118" s="229"/>
      <c r="C118" s="674"/>
      <c r="D118" s="674"/>
      <c r="E118" s="674"/>
      <c r="F118" s="674"/>
      <c r="G118" s="173" t="s">
        <v>1967</v>
      </c>
      <c r="H118" s="173" t="s">
        <v>1968</v>
      </c>
      <c r="I118" s="165" t="s">
        <v>1413</v>
      </c>
      <c r="J118" s="843"/>
      <c r="K118" s="843"/>
      <c r="L118" s="164"/>
      <c r="M118" s="843">
        <v>1</v>
      </c>
      <c r="N118" s="164">
        <v>200000</v>
      </c>
      <c r="O118" s="843">
        <v>1</v>
      </c>
      <c r="P118" s="164">
        <v>200000</v>
      </c>
      <c r="Q118" s="843">
        <v>1</v>
      </c>
      <c r="R118" s="164">
        <v>200000</v>
      </c>
      <c r="S118" s="843">
        <v>1</v>
      </c>
      <c r="T118" s="164">
        <v>200000</v>
      </c>
      <c r="U118" s="843">
        <v>1</v>
      </c>
      <c r="V118" s="164">
        <v>200000</v>
      </c>
      <c r="W118" s="842">
        <v>4</v>
      </c>
      <c r="X118" s="164"/>
      <c r="Y118" s="837" t="s">
        <v>1535</v>
      </c>
    </row>
    <row r="119" spans="2:31" x14ac:dyDescent="0.25">
      <c r="B119" s="940"/>
      <c r="C119" s="670"/>
      <c r="D119" s="670"/>
      <c r="E119" s="670"/>
      <c r="F119" s="173"/>
      <c r="G119" s="173"/>
      <c r="H119" s="173"/>
      <c r="I119" s="165"/>
      <c r="J119" s="832"/>
      <c r="K119" s="843"/>
      <c r="L119" s="164"/>
      <c r="M119" s="706"/>
      <c r="N119" s="841"/>
      <c r="O119" s="706"/>
      <c r="P119" s="841"/>
      <c r="Q119" s="706"/>
      <c r="R119" s="841"/>
      <c r="S119" s="706"/>
      <c r="T119" s="841"/>
      <c r="U119" s="706"/>
      <c r="V119" s="841"/>
      <c r="W119" s="842"/>
      <c r="X119" s="939"/>
      <c r="Y119" s="837" t="s">
        <v>1535</v>
      </c>
    </row>
    <row r="120" spans="2:31" s="219" customFormat="1" ht="84" customHeight="1" x14ac:dyDescent="0.2">
      <c r="B120" s="2011" t="s">
        <v>1462</v>
      </c>
      <c r="C120" s="2013" t="s">
        <v>348</v>
      </c>
      <c r="D120" s="2013" t="s">
        <v>3139</v>
      </c>
      <c r="E120" s="2013" t="s">
        <v>3946</v>
      </c>
      <c r="F120" s="172" t="s">
        <v>1689</v>
      </c>
      <c r="G120" s="976" t="s">
        <v>3971</v>
      </c>
      <c r="I120" s="220" t="s">
        <v>19</v>
      </c>
      <c r="J120" s="707">
        <v>91.247535721850198</v>
      </c>
      <c r="K120" s="1107">
        <v>92.86</v>
      </c>
      <c r="L120" s="1781"/>
      <c r="M120" s="223">
        <v>95.26</v>
      </c>
      <c r="O120" s="852">
        <v>97.66</v>
      </c>
      <c r="P120" s="222"/>
      <c r="Q120" s="852">
        <v>100</v>
      </c>
      <c r="R120" s="222"/>
      <c r="S120" s="852">
        <v>100</v>
      </c>
      <c r="T120" s="222"/>
      <c r="U120" s="852">
        <v>100</v>
      </c>
      <c r="V120" s="222"/>
      <c r="W120" s="221">
        <v>100</v>
      </c>
      <c r="X120" s="1779"/>
      <c r="Y120" s="1770" t="s">
        <v>1535</v>
      </c>
      <c r="AA120" s="1780" t="s">
        <v>1357</v>
      </c>
      <c r="AB120" s="62" t="s">
        <v>1358</v>
      </c>
      <c r="AC120" s="62" t="s">
        <v>1359</v>
      </c>
      <c r="AD120" s="62" t="s">
        <v>1360</v>
      </c>
      <c r="AE120" s="38" t="s">
        <v>3174</v>
      </c>
    </row>
    <row r="121" spans="2:31" s="219" customFormat="1" ht="46.5" customHeight="1" x14ac:dyDescent="0.2">
      <c r="B121" s="2012"/>
      <c r="C121" s="2014"/>
      <c r="D121" s="2014"/>
      <c r="E121" s="2014"/>
      <c r="F121" s="1753"/>
      <c r="G121" s="685" t="s">
        <v>1558</v>
      </c>
      <c r="H121" s="172" t="s">
        <v>1557</v>
      </c>
      <c r="I121" s="220" t="s">
        <v>19</v>
      </c>
      <c r="J121" s="849">
        <v>91.25</v>
      </c>
      <c r="K121" s="850">
        <v>92.86</v>
      </c>
      <c r="L121" s="851">
        <f>SUM(L122:L123)</f>
        <v>0</v>
      </c>
      <c r="M121" s="850">
        <v>95.26</v>
      </c>
      <c r="N121" s="851">
        <f>SUM(N122:N123)</f>
        <v>6000000</v>
      </c>
      <c r="O121" s="850">
        <v>97.66</v>
      </c>
      <c r="P121" s="851">
        <f>SUM(P122:P123)</f>
        <v>6000000</v>
      </c>
      <c r="Q121" s="852">
        <v>100</v>
      </c>
      <c r="R121" s="851">
        <f>SUM(R122:R123)</f>
        <v>6000000</v>
      </c>
      <c r="S121" s="852">
        <v>100</v>
      </c>
      <c r="T121" s="851">
        <f>SUM(T122:T123)</f>
        <v>6000000</v>
      </c>
      <c r="U121" s="852">
        <v>100</v>
      </c>
      <c r="V121" s="851">
        <f>SUM(V122:V123)</f>
        <v>6000000</v>
      </c>
      <c r="W121" s="853">
        <v>100</v>
      </c>
      <c r="X121" s="854"/>
      <c r="Y121" s="837" t="s">
        <v>1535</v>
      </c>
      <c r="AA121" s="944"/>
      <c r="AB121" s="192"/>
      <c r="AC121" s="192"/>
      <c r="AD121" s="192"/>
      <c r="AE121" s="62"/>
    </row>
    <row r="122" spans="2:31" ht="80.25" customHeight="1" x14ac:dyDescent="0.25">
      <c r="B122" s="2012"/>
      <c r="C122" s="2014"/>
      <c r="D122" s="2014"/>
      <c r="E122" s="1753"/>
      <c r="F122" s="674"/>
      <c r="G122" s="173" t="s">
        <v>1929</v>
      </c>
      <c r="H122" s="173" t="s">
        <v>1930</v>
      </c>
      <c r="I122" s="165" t="s">
        <v>1413</v>
      </c>
      <c r="J122" s="843">
        <v>0</v>
      </c>
      <c r="K122" s="843">
        <v>0</v>
      </c>
      <c r="L122" s="164">
        <v>0</v>
      </c>
      <c r="M122" s="843">
        <v>1</v>
      </c>
      <c r="N122" s="164">
        <v>1000000</v>
      </c>
      <c r="O122" s="843">
        <v>1</v>
      </c>
      <c r="P122" s="164">
        <v>1000000</v>
      </c>
      <c r="Q122" s="843">
        <v>1</v>
      </c>
      <c r="R122" s="164">
        <v>1000000</v>
      </c>
      <c r="S122" s="843">
        <v>1</v>
      </c>
      <c r="T122" s="164">
        <v>1000000</v>
      </c>
      <c r="U122" s="843">
        <v>1</v>
      </c>
      <c r="V122" s="164">
        <v>1000000</v>
      </c>
      <c r="W122" s="842">
        <v>4</v>
      </c>
      <c r="X122" s="164"/>
      <c r="Y122" s="837" t="s">
        <v>1535</v>
      </c>
      <c r="AA122" s="944"/>
      <c r="AB122" s="192"/>
      <c r="AC122" s="192"/>
      <c r="AD122" s="192"/>
      <c r="AE122" s="47"/>
    </row>
    <row r="123" spans="2:31" ht="60.75" customHeight="1" x14ac:dyDescent="0.25">
      <c r="B123" s="2015"/>
      <c r="C123" s="675"/>
      <c r="D123" s="675"/>
      <c r="E123" s="675"/>
      <c r="F123" s="675"/>
      <c r="G123" s="173" t="s">
        <v>1931</v>
      </c>
      <c r="H123" s="173" t="s">
        <v>1932</v>
      </c>
      <c r="I123" s="165" t="s">
        <v>1539</v>
      </c>
      <c r="J123" s="856">
        <v>0</v>
      </c>
      <c r="K123" s="843">
        <v>0</v>
      </c>
      <c r="L123" s="164">
        <v>0</v>
      </c>
      <c r="M123" s="843">
        <v>5</v>
      </c>
      <c r="N123" s="164">
        <v>5000000</v>
      </c>
      <c r="O123" s="843">
        <v>5</v>
      </c>
      <c r="P123" s="164">
        <v>5000000</v>
      </c>
      <c r="Q123" s="843">
        <v>5</v>
      </c>
      <c r="R123" s="164">
        <v>5000000</v>
      </c>
      <c r="S123" s="843">
        <v>5</v>
      </c>
      <c r="T123" s="164">
        <v>5000000</v>
      </c>
      <c r="U123" s="843">
        <v>5</v>
      </c>
      <c r="V123" s="164">
        <v>5000000</v>
      </c>
      <c r="W123" s="842">
        <v>20</v>
      </c>
      <c r="X123" s="164"/>
      <c r="Y123" s="837" t="s">
        <v>1535</v>
      </c>
      <c r="AA123" s="944"/>
      <c r="AB123" s="192"/>
      <c r="AC123" s="192"/>
      <c r="AD123" s="192"/>
      <c r="AE123" s="47"/>
    </row>
    <row r="124" spans="2:31" x14ac:dyDescent="0.25">
      <c r="B124" s="940"/>
      <c r="C124" s="676"/>
      <c r="D124" s="676"/>
      <c r="E124" s="676"/>
      <c r="F124" s="674"/>
      <c r="G124" s="173"/>
      <c r="H124" s="173"/>
      <c r="I124" s="165"/>
      <c r="J124" s="856"/>
      <c r="K124" s="843"/>
      <c r="L124" s="164"/>
      <c r="M124" s="843"/>
      <c r="N124" s="164"/>
      <c r="O124" s="843"/>
      <c r="P124" s="164"/>
      <c r="Q124" s="843"/>
      <c r="R124" s="164"/>
      <c r="S124" s="843"/>
      <c r="T124" s="164"/>
      <c r="U124" s="843"/>
      <c r="V124" s="164"/>
      <c r="W124" s="842"/>
      <c r="X124" s="164"/>
      <c r="Y124" s="837" t="s">
        <v>1535</v>
      </c>
      <c r="AA124" s="944"/>
      <c r="AB124" s="192"/>
      <c r="AC124" s="192"/>
      <c r="AD124" s="192"/>
      <c r="AE124" s="47"/>
    </row>
    <row r="125" spans="2:31" s="219" customFormat="1" ht="48" customHeight="1" x14ac:dyDescent="0.2">
      <c r="B125" s="2011" t="s">
        <v>33</v>
      </c>
      <c r="C125" s="1946" t="s">
        <v>34</v>
      </c>
      <c r="D125" s="1946" t="s">
        <v>3831</v>
      </c>
      <c r="E125" s="1792" t="s">
        <v>3992</v>
      </c>
      <c r="F125" s="1946" t="s">
        <v>3913</v>
      </c>
      <c r="G125" s="38" t="s">
        <v>3133</v>
      </c>
      <c r="H125" s="685" t="s">
        <v>1635</v>
      </c>
      <c r="I125" s="220" t="s">
        <v>19</v>
      </c>
      <c r="J125" s="852">
        <v>90</v>
      </c>
      <c r="K125" s="852">
        <v>91</v>
      </c>
      <c r="L125" s="861"/>
      <c r="M125" s="852">
        <v>92</v>
      </c>
      <c r="N125" s="861"/>
      <c r="O125" s="852">
        <v>93</v>
      </c>
      <c r="P125" s="861"/>
      <c r="Q125" s="852">
        <v>94</v>
      </c>
      <c r="R125" s="861"/>
      <c r="S125" s="852">
        <v>95</v>
      </c>
      <c r="T125" s="861"/>
      <c r="U125" s="852">
        <v>96</v>
      </c>
      <c r="V125" s="861"/>
      <c r="W125" s="862">
        <v>96</v>
      </c>
      <c r="X125" s="221"/>
      <c r="Y125" s="1770" t="s">
        <v>1535</v>
      </c>
      <c r="AA125" s="1786"/>
      <c r="AB125" s="47"/>
      <c r="AC125" s="47"/>
      <c r="AD125" s="47"/>
      <c r="AE125" s="47"/>
    </row>
    <row r="126" spans="2:31" ht="60" x14ac:dyDescent="0.25">
      <c r="B126" s="2012"/>
      <c r="C126" s="1947"/>
      <c r="D126" s="1947"/>
      <c r="E126" s="1793"/>
      <c r="F126" s="1947"/>
      <c r="G126" s="685" t="s">
        <v>1636</v>
      </c>
      <c r="H126" s="685" t="s">
        <v>1637</v>
      </c>
      <c r="I126" s="686" t="s">
        <v>19</v>
      </c>
      <c r="J126" s="844">
        <v>100</v>
      </c>
      <c r="K126" s="836">
        <v>20</v>
      </c>
      <c r="L126" s="668">
        <f>SUM(L127:L140)</f>
        <v>2144680</v>
      </c>
      <c r="M126" s="836">
        <v>20</v>
      </c>
      <c r="N126" s="668">
        <f>SUM(N127:N140)</f>
        <v>2246850</v>
      </c>
      <c r="O126" s="836">
        <v>15</v>
      </c>
      <c r="P126" s="668">
        <f>SUM(P127:P140)</f>
        <v>2319600</v>
      </c>
      <c r="Q126" s="836">
        <v>15</v>
      </c>
      <c r="R126" s="668">
        <f>SUM(R127:R140)</f>
        <v>2372350</v>
      </c>
      <c r="S126" s="836">
        <v>15</v>
      </c>
      <c r="T126" s="668">
        <f>SUM(T127:T140)</f>
        <v>2445100</v>
      </c>
      <c r="U126" s="836">
        <v>15</v>
      </c>
      <c r="V126" s="668">
        <f>SUM(V127:V140)</f>
        <v>2445100</v>
      </c>
      <c r="W126" s="835">
        <v>100</v>
      </c>
      <c r="X126" s="668"/>
      <c r="Y126" s="837" t="s">
        <v>1535</v>
      </c>
      <c r="AA126" s="944"/>
      <c r="AB126" s="192"/>
      <c r="AC126" s="192"/>
      <c r="AD126" s="192"/>
      <c r="AE126" s="47"/>
    </row>
    <row r="127" spans="2:31" ht="63.75" x14ac:dyDescent="0.25">
      <c r="B127" s="2012"/>
      <c r="C127" s="674"/>
      <c r="D127" s="674"/>
      <c r="E127" s="674"/>
      <c r="F127" s="674"/>
      <c r="G127" s="173" t="s">
        <v>1978</v>
      </c>
      <c r="H127" s="173" t="s">
        <v>1979</v>
      </c>
      <c r="I127" s="165" t="s">
        <v>40</v>
      </c>
      <c r="J127" s="832"/>
      <c r="K127" s="706">
        <v>12</v>
      </c>
      <c r="L127" s="841">
        <v>2750</v>
      </c>
      <c r="M127" s="706">
        <v>12</v>
      </c>
      <c r="N127" s="841">
        <v>2750</v>
      </c>
      <c r="O127" s="706">
        <v>12</v>
      </c>
      <c r="P127" s="863">
        <v>3000</v>
      </c>
      <c r="Q127" s="706">
        <v>12</v>
      </c>
      <c r="R127" s="841">
        <v>3250</v>
      </c>
      <c r="S127" s="706">
        <v>12</v>
      </c>
      <c r="T127" s="841">
        <v>3500</v>
      </c>
      <c r="U127" s="706">
        <v>12</v>
      </c>
      <c r="V127" s="841">
        <v>3500</v>
      </c>
      <c r="W127" s="842"/>
      <c r="X127" s="164"/>
      <c r="Y127" s="837" t="s">
        <v>1535</v>
      </c>
      <c r="AA127" s="944"/>
      <c r="AB127" s="192"/>
      <c r="AC127" s="192"/>
      <c r="AD127" s="192"/>
      <c r="AE127" s="47"/>
    </row>
    <row r="128" spans="2:31" ht="63.75" x14ac:dyDescent="0.25">
      <c r="B128" s="2012"/>
      <c r="C128" s="674"/>
      <c r="D128" s="674"/>
      <c r="E128" s="674"/>
      <c r="F128" s="674"/>
      <c r="G128" s="173" t="s">
        <v>1980</v>
      </c>
      <c r="H128" s="173" t="s">
        <v>1981</v>
      </c>
      <c r="I128" s="165" t="s">
        <v>40</v>
      </c>
      <c r="J128" s="832"/>
      <c r="K128" s="706">
        <v>12</v>
      </c>
      <c r="L128" s="841">
        <v>163930</v>
      </c>
      <c r="M128" s="706">
        <v>12</v>
      </c>
      <c r="N128" s="841">
        <v>190000</v>
      </c>
      <c r="O128" s="706">
        <v>12</v>
      </c>
      <c r="P128" s="841">
        <v>200000</v>
      </c>
      <c r="Q128" s="706">
        <v>12</v>
      </c>
      <c r="R128" s="841">
        <v>210000</v>
      </c>
      <c r="S128" s="706">
        <v>12</v>
      </c>
      <c r="T128" s="841">
        <v>220000</v>
      </c>
      <c r="U128" s="706">
        <v>12</v>
      </c>
      <c r="V128" s="841">
        <v>220000</v>
      </c>
      <c r="W128" s="842"/>
      <c r="X128" s="164"/>
      <c r="Y128" s="837" t="s">
        <v>1535</v>
      </c>
      <c r="AA128" s="944"/>
      <c r="AB128" s="192"/>
      <c r="AC128" s="192"/>
      <c r="AD128" s="192"/>
      <c r="AE128" s="47"/>
    </row>
    <row r="129" spans="2:31" ht="127.5" x14ac:dyDescent="0.25">
      <c r="B129" s="2012"/>
      <c r="C129" s="674"/>
      <c r="D129" s="674"/>
      <c r="E129" s="674"/>
      <c r="F129" s="674"/>
      <c r="G129" s="173" t="s">
        <v>1982</v>
      </c>
      <c r="H129" s="173" t="s">
        <v>1983</v>
      </c>
      <c r="I129" s="165" t="s">
        <v>40</v>
      </c>
      <c r="J129" s="832"/>
      <c r="K129" s="706">
        <v>12</v>
      </c>
      <c r="L129" s="841">
        <v>980000</v>
      </c>
      <c r="M129" s="706">
        <v>12</v>
      </c>
      <c r="N129" s="841">
        <v>990000</v>
      </c>
      <c r="O129" s="706">
        <v>12</v>
      </c>
      <c r="P129" s="841">
        <v>1000000</v>
      </c>
      <c r="Q129" s="706">
        <v>12</v>
      </c>
      <c r="R129" s="841">
        <v>1010000</v>
      </c>
      <c r="S129" s="706">
        <v>12</v>
      </c>
      <c r="T129" s="841">
        <v>1020000</v>
      </c>
      <c r="U129" s="706">
        <v>12</v>
      </c>
      <c r="V129" s="841">
        <v>1020000</v>
      </c>
      <c r="W129" s="842"/>
      <c r="X129" s="164"/>
      <c r="Y129" s="837" t="s">
        <v>1535</v>
      </c>
      <c r="AA129" s="944"/>
      <c r="AB129" s="192"/>
      <c r="AC129" s="192"/>
      <c r="AD129" s="192"/>
      <c r="AE129" s="47"/>
    </row>
    <row r="130" spans="2:31" ht="51" x14ac:dyDescent="0.25">
      <c r="B130" s="2012"/>
      <c r="C130" s="674"/>
      <c r="D130" s="674"/>
      <c r="E130" s="674"/>
      <c r="F130" s="674"/>
      <c r="G130" s="173" t="s">
        <v>1984</v>
      </c>
      <c r="H130" s="173" t="s">
        <v>1985</v>
      </c>
      <c r="I130" s="165" t="s">
        <v>40</v>
      </c>
      <c r="J130" s="832"/>
      <c r="K130" s="706">
        <v>12</v>
      </c>
      <c r="L130" s="841">
        <v>140000</v>
      </c>
      <c r="M130" s="706">
        <v>12</v>
      </c>
      <c r="N130" s="841">
        <v>140000</v>
      </c>
      <c r="O130" s="706">
        <v>12</v>
      </c>
      <c r="P130" s="841">
        <v>140000</v>
      </c>
      <c r="Q130" s="706">
        <v>12</v>
      </c>
      <c r="R130" s="841">
        <v>140000</v>
      </c>
      <c r="S130" s="706">
        <v>12</v>
      </c>
      <c r="T130" s="841">
        <v>140000</v>
      </c>
      <c r="U130" s="706">
        <v>12</v>
      </c>
      <c r="V130" s="841">
        <v>140000</v>
      </c>
      <c r="W130" s="842"/>
      <c r="X130" s="164"/>
      <c r="Y130" s="837" t="s">
        <v>1535</v>
      </c>
      <c r="AA130" s="944"/>
      <c r="AB130" s="192"/>
      <c r="AC130" s="192"/>
      <c r="AD130" s="192"/>
      <c r="AE130" s="47"/>
    </row>
    <row r="131" spans="2:31" ht="51" x14ac:dyDescent="0.25">
      <c r="B131" s="2012"/>
      <c r="C131" s="674"/>
      <c r="D131" s="674"/>
      <c r="E131" s="674"/>
      <c r="F131" s="674"/>
      <c r="G131" s="173" t="s">
        <v>1986</v>
      </c>
      <c r="H131" s="173" t="s">
        <v>1987</v>
      </c>
      <c r="I131" s="165" t="s">
        <v>40</v>
      </c>
      <c r="J131" s="832"/>
      <c r="K131" s="706">
        <v>12</v>
      </c>
      <c r="L131" s="841">
        <v>20000</v>
      </c>
      <c r="M131" s="706">
        <v>12</v>
      </c>
      <c r="N131" s="841">
        <v>25000</v>
      </c>
      <c r="O131" s="706">
        <v>12</v>
      </c>
      <c r="P131" s="841">
        <v>30000</v>
      </c>
      <c r="Q131" s="706">
        <v>12</v>
      </c>
      <c r="R131" s="841">
        <v>35000</v>
      </c>
      <c r="S131" s="706">
        <v>12</v>
      </c>
      <c r="T131" s="841">
        <v>40000</v>
      </c>
      <c r="U131" s="706">
        <v>12</v>
      </c>
      <c r="V131" s="841">
        <v>40000</v>
      </c>
      <c r="W131" s="842"/>
      <c r="X131" s="164"/>
      <c r="Y131" s="837" t="s">
        <v>1535</v>
      </c>
      <c r="AA131" s="944"/>
      <c r="AB131" s="192"/>
      <c r="AC131" s="192"/>
      <c r="AD131" s="192"/>
      <c r="AE131" s="47"/>
    </row>
    <row r="132" spans="2:31" ht="89.25" x14ac:dyDescent="0.25">
      <c r="B132" s="2012"/>
      <c r="C132" s="674"/>
      <c r="D132" s="674"/>
      <c r="E132" s="674"/>
      <c r="F132" s="674"/>
      <c r="G132" s="173" t="s">
        <v>1988</v>
      </c>
      <c r="H132" s="173" t="s">
        <v>1989</v>
      </c>
      <c r="I132" s="165" t="s">
        <v>40</v>
      </c>
      <c r="J132" s="832"/>
      <c r="K132" s="706">
        <v>12</v>
      </c>
      <c r="L132" s="841">
        <v>50000</v>
      </c>
      <c r="M132" s="706">
        <v>12</v>
      </c>
      <c r="N132" s="841">
        <v>50000</v>
      </c>
      <c r="O132" s="706">
        <v>12</v>
      </c>
      <c r="P132" s="841">
        <v>60000</v>
      </c>
      <c r="Q132" s="706">
        <v>12</v>
      </c>
      <c r="R132" s="841">
        <v>60000</v>
      </c>
      <c r="S132" s="706">
        <v>12</v>
      </c>
      <c r="T132" s="841">
        <v>70000</v>
      </c>
      <c r="U132" s="706">
        <v>12</v>
      </c>
      <c r="V132" s="841">
        <v>70000</v>
      </c>
      <c r="W132" s="842"/>
      <c r="X132" s="164"/>
      <c r="Y132" s="837" t="s">
        <v>1535</v>
      </c>
      <c r="AA132" s="944"/>
      <c r="AB132" s="192"/>
      <c r="AC132" s="192"/>
      <c r="AD132" s="192"/>
      <c r="AE132" s="47"/>
    </row>
    <row r="133" spans="2:31" ht="38.25" x14ac:dyDescent="0.25">
      <c r="B133" s="2012"/>
      <c r="C133" s="674"/>
      <c r="D133" s="674"/>
      <c r="E133" s="674"/>
      <c r="F133" s="674"/>
      <c r="G133" s="173" t="s">
        <v>778</v>
      </c>
      <c r="H133" s="173" t="s">
        <v>1990</v>
      </c>
      <c r="I133" s="165" t="s">
        <v>40</v>
      </c>
      <c r="J133" s="832"/>
      <c r="K133" s="706">
        <v>12</v>
      </c>
      <c r="L133" s="841">
        <v>40000</v>
      </c>
      <c r="M133" s="706">
        <v>12</v>
      </c>
      <c r="N133" s="841">
        <v>40000</v>
      </c>
      <c r="O133" s="706">
        <v>12</v>
      </c>
      <c r="P133" s="841">
        <v>50000</v>
      </c>
      <c r="Q133" s="706">
        <v>12</v>
      </c>
      <c r="R133" s="841">
        <v>50000</v>
      </c>
      <c r="S133" s="706">
        <v>12</v>
      </c>
      <c r="T133" s="841">
        <v>60000</v>
      </c>
      <c r="U133" s="706">
        <v>12</v>
      </c>
      <c r="V133" s="841">
        <v>60000</v>
      </c>
      <c r="W133" s="842"/>
      <c r="X133" s="164"/>
      <c r="Y133" s="837" t="s">
        <v>1535</v>
      </c>
      <c r="AA133" s="944"/>
      <c r="AB133" s="60"/>
      <c r="AC133" s="60"/>
      <c r="AD133" s="60"/>
      <c r="AE133" s="47"/>
    </row>
    <row r="134" spans="2:31" ht="51" x14ac:dyDescent="0.25">
      <c r="B134" s="2012"/>
      <c r="C134" s="674"/>
      <c r="D134" s="674"/>
      <c r="E134" s="674"/>
      <c r="F134" s="674"/>
      <c r="G134" s="173" t="s">
        <v>1991</v>
      </c>
      <c r="H134" s="173" t="s">
        <v>1992</v>
      </c>
      <c r="I134" s="165" t="s">
        <v>40</v>
      </c>
      <c r="J134" s="832"/>
      <c r="K134" s="706">
        <v>12</v>
      </c>
      <c r="L134" s="841">
        <v>50000</v>
      </c>
      <c r="M134" s="706">
        <v>12</v>
      </c>
      <c r="N134" s="841">
        <v>55000</v>
      </c>
      <c r="O134" s="706">
        <v>12</v>
      </c>
      <c r="P134" s="841">
        <v>60000</v>
      </c>
      <c r="Q134" s="706">
        <v>12</v>
      </c>
      <c r="R134" s="841">
        <v>65000</v>
      </c>
      <c r="S134" s="706">
        <v>12</v>
      </c>
      <c r="T134" s="841">
        <v>70000</v>
      </c>
      <c r="U134" s="706">
        <v>12</v>
      </c>
      <c r="V134" s="841">
        <v>70000</v>
      </c>
      <c r="W134" s="842"/>
      <c r="X134" s="164"/>
      <c r="Y134" s="837" t="s">
        <v>1535</v>
      </c>
      <c r="AA134" s="944"/>
      <c r="AB134" s="193"/>
      <c r="AC134" s="193"/>
      <c r="AD134" s="193"/>
      <c r="AE134" s="22"/>
    </row>
    <row r="135" spans="2:31" ht="76.5" customHeight="1" x14ac:dyDescent="0.25">
      <c r="B135" s="2012"/>
      <c r="C135" s="674"/>
      <c r="D135" s="674"/>
      <c r="E135" s="674"/>
      <c r="F135" s="674"/>
      <c r="G135" s="173" t="s">
        <v>1993</v>
      </c>
      <c r="H135" s="173" t="s">
        <v>1994</v>
      </c>
      <c r="I135" s="165" t="s">
        <v>40</v>
      </c>
      <c r="J135" s="832"/>
      <c r="K135" s="706">
        <v>12</v>
      </c>
      <c r="L135" s="841">
        <v>15000</v>
      </c>
      <c r="M135" s="706">
        <v>12</v>
      </c>
      <c r="N135" s="841">
        <v>20000</v>
      </c>
      <c r="O135" s="706">
        <v>12</v>
      </c>
      <c r="P135" s="841">
        <v>25000</v>
      </c>
      <c r="Q135" s="706">
        <v>12</v>
      </c>
      <c r="R135" s="841">
        <v>30000</v>
      </c>
      <c r="S135" s="706">
        <v>12</v>
      </c>
      <c r="T135" s="841">
        <v>35000</v>
      </c>
      <c r="U135" s="706">
        <v>12</v>
      </c>
      <c r="V135" s="841">
        <v>35000</v>
      </c>
      <c r="W135" s="842"/>
      <c r="X135" s="164"/>
      <c r="Y135" s="837" t="s">
        <v>1535</v>
      </c>
      <c r="AA135" s="944"/>
      <c r="AB135" s="59" t="s">
        <v>1381</v>
      </c>
      <c r="AC135" s="59" t="s">
        <v>1382</v>
      </c>
      <c r="AD135" s="59" t="s">
        <v>1383</v>
      </c>
      <c r="AE135" s="290" t="s">
        <v>3170</v>
      </c>
    </row>
    <row r="136" spans="2:31" ht="51" x14ac:dyDescent="0.25">
      <c r="B136" s="2012"/>
      <c r="C136" s="674"/>
      <c r="D136" s="674"/>
      <c r="E136" s="674"/>
      <c r="F136" s="674"/>
      <c r="G136" s="173" t="s">
        <v>1995</v>
      </c>
      <c r="H136" s="173" t="s">
        <v>1996</v>
      </c>
      <c r="I136" s="165" t="s">
        <v>40</v>
      </c>
      <c r="J136" s="832"/>
      <c r="K136" s="706">
        <v>12</v>
      </c>
      <c r="L136" s="841">
        <v>15000</v>
      </c>
      <c r="M136" s="706">
        <v>12</v>
      </c>
      <c r="N136" s="841">
        <v>17500</v>
      </c>
      <c r="O136" s="706">
        <v>12</v>
      </c>
      <c r="P136" s="841">
        <v>20000</v>
      </c>
      <c r="Q136" s="706">
        <v>12</v>
      </c>
      <c r="R136" s="841">
        <v>22500</v>
      </c>
      <c r="S136" s="706">
        <v>12</v>
      </c>
      <c r="T136" s="841">
        <v>25000</v>
      </c>
      <c r="U136" s="706">
        <v>12</v>
      </c>
      <c r="V136" s="841">
        <v>25000</v>
      </c>
      <c r="W136" s="842"/>
      <c r="X136" s="164"/>
      <c r="Y136" s="837" t="s">
        <v>1535</v>
      </c>
      <c r="AA136" s="944"/>
      <c r="AB136" s="192"/>
      <c r="AC136" s="192"/>
      <c r="AD136" s="192"/>
      <c r="AE136" s="47"/>
    </row>
    <row r="137" spans="2:31" ht="25.5" x14ac:dyDescent="0.25">
      <c r="B137" s="2012"/>
      <c r="C137" s="674"/>
      <c r="D137" s="674"/>
      <c r="E137" s="674"/>
      <c r="F137" s="674"/>
      <c r="G137" s="173" t="s">
        <v>1997</v>
      </c>
      <c r="H137" s="173" t="s">
        <v>1998</v>
      </c>
      <c r="I137" s="165" t="s">
        <v>40</v>
      </c>
      <c r="J137" s="832"/>
      <c r="K137" s="706">
        <v>12</v>
      </c>
      <c r="L137" s="841">
        <v>40000</v>
      </c>
      <c r="M137" s="706">
        <v>12</v>
      </c>
      <c r="N137" s="841">
        <v>45000</v>
      </c>
      <c r="O137" s="706">
        <v>12</v>
      </c>
      <c r="P137" s="841">
        <v>50000</v>
      </c>
      <c r="Q137" s="706">
        <v>12</v>
      </c>
      <c r="R137" s="841">
        <v>55000</v>
      </c>
      <c r="S137" s="706">
        <v>12</v>
      </c>
      <c r="T137" s="841">
        <v>60000</v>
      </c>
      <c r="U137" s="706">
        <v>12</v>
      </c>
      <c r="V137" s="841">
        <v>60000</v>
      </c>
      <c r="W137" s="842"/>
      <c r="X137" s="164"/>
      <c r="Y137" s="837" t="s">
        <v>1535</v>
      </c>
      <c r="AA137" s="945"/>
      <c r="AB137" s="60"/>
      <c r="AC137" s="60"/>
      <c r="AD137" s="60"/>
      <c r="AE137" s="56"/>
    </row>
    <row r="138" spans="2:31" ht="51" x14ac:dyDescent="0.25">
      <c r="B138" s="2012"/>
      <c r="C138" s="674"/>
      <c r="D138" s="674"/>
      <c r="E138" s="674"/>
      <c r="F138" s="674"/>
      <c r="G138" s="173" t="s">
        <v>1999</v>
      </c>
      <c r="H138" s="173" t="s">
        <v>2000</v>
      </c>
      <c r="I138" s="165" t="s">
        <v>40</v>
      </c>
      <c r="J138" s="832"/>
      <c r="K138" s="706">
        <v>12</v>
      </c>
      <c r="L138" s="841">
        <v>75000</v>
      </c>
      <c r="M138" s="706">
        <v>12</v>
      </c>
      <c r="N138" s="841">
        <v>80000</v>
      </c>
      <c r="O138" s="706">
        <v>12</v>
      </c>
      <c r="P138" s="841">
        <v>85000</v>
      </c>
      <c r="Q138" s="706">
        <v>12</v>
      </c>
      <c r="R138" s="841">
        <v>90000</v>
      </c>
      <c r="S138" s="706">
        <v>12</v>
      </c>
      <c r="T138" s="841">
        <v>95000</v>
      </c>
      <c r="U138" s="706">
        <v>12</v>
      </c>
      <c r="V138" s="841">
        <v>95000</v>
      </c>
      <c r="W138" s="842"/>
      <c r="X138" s="164"/>
      <c r="Y138" s="837" t="s">
        <v>1535</v>
      </c>
    </row>
    <row r="139" spans="2:31" ht="38.25" x14ac:dyDescent="0.25">
      <c r="B139" s="2012"/>
      <c r="C139" s="674"/>
      <c r="D139" s="674"/>
      <c r="E139" s="674"/>
      <c r="F139" s="674"/>
      <c r="G139" s="173" t="s">
        <v>468</v>
      </c>
      <c r="H139" s="173" t="s">
        <v>2001</v>
      </c>
      <c r="I139" s="165" t="s">
        <v>40</v>
      </c>
      <c r="J139" s="832"/>
      <c r="K139" s="706">
        <v>12</v>
      </c>
      <c r="L139" s="841">
        <v>528000</v>
      </c>
      <c r="M139" s="706">
        <v>12</v>
      </c>
      <c r="N139" s="841">
        <v>561600</v>
      </c>
      <c r="O139" s="706">
        <v>12</v>
      </c>
      <c r="P139" s="841">
        <v>561600</v>
      </c>
      <c r="Q139" s="706">
        <v>12</v>
      </c>
      <c r="R139" s="841">
        <v>561600</v>
      </c>
      <c r="S139" s="706">
        <v>12</v>
      </c>
      <c r="T139" s="841">
        <v>561600</v>
      </c>
      <c r="U139" s="706">
        <v>12</v>
      </c>
      <c r="V139" s="841">
        <v>561600</v>
      </c>
      <c r="W139" s="842"/>
      <c r="X139" s="164"/>
      <c r="Y139" s="837" t="s">
        <v>1535</v>
      </c>
    </row>
    <row r="140" spans="2:31" ht="51" x14ac:dyDescent="0.25">
      <c r="B140" s="2012"/>
      <c r="C140" s="674"/>
      <c r="D140" s="674"/>
      <c r="E140" s="674"/>
      <c r="F140" s="674"/>
      <c r="G140" s="173" t="s">
        <v>2002</v>
      </c>
      <c r="H140" s="173" t="s">
        <v>2003</v>
      </c>
      <c r="I140" s="165" t="s">
        <v>40</v>
      </c>
      <c r="J140" s="832"/>
      <c r="K140" s="706">
        <v>12</v>
      </c>
      <c r="L140" s="841">
        <v>25000</v>
      </c>
      <c r="M140" s="706">
        <v>12</v>
      </c>
      <c r="N140" s="841">
        <v>30000</v>
      </c>
      <c r="O140" s="706">
        <v>12</v>
      </c>
      <c r="P140" s="841">
        <v>35000</v>
      </c>
      <c r="Q140" s="706">
        <v>12</v>
      </c>
      <c r="R140" s="841">
        <v>40000</v>
      </c>
      <c r="S140" s="706">
        <v>12</v>
      </c>
      <c r="T140" s="841">
        <v>45000</v>
      </c>
      <c r="U140" s="706">
        <v>12</v>
      </c>
      <c r="V140" s="841">
        <v>45000</v>
      </c>
      <c r="W140" s="842"/>
      <c r="X140" s="164"/>
      <c r="Y140" s="837" t="s">
        <v>1535</v>
      </c>
    </row>
    <row r="141" spans="2:31" ht="48" x14ac:dyDescent="0.25">
      <c r="B141" s="2012"/>
      <c r="C141" s="674"/>
      <c r="D141" s="674"/>
      <c r="E141" s="674"/>
      <c r="F141" s="170"/>
      <c r="G141" s="685" t="s">
        <v>935</v>
      </c>
      <c r="H141" s="685" t="s">
        <v>1641</v>
      </c>
      <c r="I141" s="686" t="s">
        <v>19</v>
      </c>
      <c r="J141" s="864">
        <v>100</v>
      </c>
      <c r="K141" s="836">
        <v>20</v>
      </c>
      <c r="L141" s="845">
        <f>SUM(L142:L148)</f>
        <v>44153500</v>
      </c>
      <c r="M141" s="836">
        <v>20</v>
      </c>
      <c r="N141" s="845">
        <f>SUM(N142:N148)</f>
        <v>13340000</v>
      </c>
      <c r="O141" s="836">
        <v>15</v>
      </c>
      <c r="P141" s="845">
        <f>SUM(P142:P148)</f>
        <v>13400000</v>
      </c>
      <c r="Q141" s="836">
        <v>15</v>
      </c>
      <c r="R141" s="845">
        <f>SUM(R142:R148)</f>
        <v>13460000</v>
      </c>
      <c r="S141" s="836">
        <v>15</v>
      </c>
      <c r="T141" s="845">
        <f>SUM(T142:T148)</f>
        <v>13520000</v>
      </c>
      <c r="U141" s="836">
        <v>15</v>
      </c>
      <c r="V141" s="845">
        <f>SUM(V142:V148)</f>
        <v>13520000</v>
      </c>
      <c r="W141" s="835">
        <v>100</v>
      </c>
      <c r="X141" s="845"/>
      <c r="Y141" s="837" t="s">
        <v>1535</v>
      </c>
    </row>
    <row r="142" spans="2:31" ht="51" x14ac:dyDescent="0.25">
      <c r="B142" s="2012"/>
      <c r="C142" s="674"/>
      <c r="D142" s="674"/>
      <c r="E142" s="674"/>
      <c r="F142" s="674"/>
      <c r="G142" s="173" t="s">
        <v>2004</v>
      </c>
      <c r="H142" s="173" t="s">
        <v>2005</v>
      </c>
      <c r="I142" s="165" t="s">
        <v>75</v>
      </c>
      <c r="J142" s="832"/>
      <c r="K142" s="706">
        <v>8</v>
      </c>
      <c r="L142" s="841">
        <v>15598500</v>
      </c>
      <c r="M142" s="706"/>
      <c r="N142" s="841">
        <v>0</v>
      </c>
      <c r="O142" s="706"/>
      <c r="P142" s="841">
        <v>0</v>
      </c>
      <c r="Q142" s="706"/>
      <c r="R142" s="841">
        <v>0</v>
      </c>
      <c r="S142" s="706"/>
      <c r="T142" s="841">
        <v>0</v>
      </c>
      <c r="U142" s="706"/>
      <c r="V142" s="841">
        <v>0</v>
      </c>
      <c r="W142" s="842"/>
      <c r="X142" s="164"/>
      <c r="Y142" s="837" t="s">
        <v>1535</v>
      </c>
    </row>
    <row r="143" spans="2:31" ht="51" x14ac:dyDescent="0.25">
      <c r="B143" s="2012"/>
      <c r="C143" s="674"/>
      <c r="D143" s="674"/>
      <c r="E143" s="674"/>
      <c r="F143" s="674"/>
      <c r="G143" s="173" t="s">
        <v>2006</v>
      </c>
      <c r="H143" s="173" t="s">
        <v>2007</v>
      </c>
      <c r="I143" s="165" t="s">
        <v>75</v>
      </c>
      <c r="J143" s="832"/>
      <c r="K143" s="706">
        <v>1</v>
      </c>
      <c r="L143" s="841">
        <v>100000</v>
      </c>
      <c r="M143" s="706">
        <v>1</v>
      </c>
      <c r="N143" s="841">
        <v>150000</v>
      </c>
      <c r="O143" s="706">
        <v>1</v>
      </c>
      <c r="P143" s="841">
        <v>200000</v>
      </c>
      <c r="Q143" s="706">
        <v>1</v>
      </c>
      <c r="R143" s="841">
        <v>250000</v>
      </c>
      <c r="S143" s="706">
        <v>1</v>
      </c>
      <c r="T143" s="841">
        <v>300000</v>
      </c>
      <c r="U143" s="706">
        <v>1</v>
      </c>
      <c r="V143" s="841">
        <v>300000</v>
      </c>
      <c r="W143" s="842"/>
      <c r="X143" s="164"/>
      <c r="Y143" s="837" t="s">
        <v>1535</v>
      </c>
    </row>
    <row r="144" spans="2:31" ht="63.75" x14ac:dyDescent="0.25">
      <c r="B144" s="2012"/>
      <c r="C144" s="674"/>
      <c r="D144" s="674"/>
      <c r="E144" s="674"/>
      <c r="F144" s="674"/>
      <c r="G144" s="173" t="s">
        <v>2008</v>
      </c>
      <c r="H144" s="173" t="s">
        <v>2009</v>
      </c>
      <c r="I144" s="165" t="s">
        <v>75</v>
      </c>
      <c r="J144" s="832"/>
      <c r="K144" s="706"/>
      <c r="L144" s="863"/>
      <c r="M144" s="706">
        <v>5</v>
      </c>
      <c r="N144" s="841">
        <v>100000</v>
      </c>
      <c r="O144" s="706">
        <v>5</v>
      </c>
      <c r="P144" s="841">
        <v>100000</v>
      </c>
      <c r="Q144" s="706">
        <v>5</v>
      </c>
      <c r="R144" s="841">
        <v>100000</v>
      </c>
      <c r="S144" s="706">
        <v>5</v>
      </c>
      <c r="T144" s="841">
        <v>100000</v>
      </c>
      <c r="U144" s="706">
        <v>5</v>
      </c>
      <c r="V144" s="841">
        <v>100000</v>
      </c>
      <c r="W144" s="842"/>
      <c r="X144" s="164"/>
      <c r="Y144" s="837" t="s">
        <v>1535</v>
      </c>
    </row>
    <row r="145" spans="2:25" ht="51" x14ac:dyDescent="0.25">
      <c r="B145" s="2012"/>
      <c r="C145" s="674"/>
      <c r="D145" s="674"/>
      <c r="E145" s="674"/>
      <c r="F145" s="674"/>
      <c r="G145" s="173" t="s">
        <v>2010</v>
      </c>
      <c r="H145" s="173" t="s">
        <v>2011</v>
      </c>
      <c r="I145" s="165" t="s">
        <v>75</v>
      </c>
      <c r="J145" s="832"/>
      <c r="K145" s="706">
        <v>5</v>
      </c>
      <c r="L145" s="841">
        <v>27625000</v>
      </c>
      <c r="M145" s="706">
        <v>2</v>
      </c>
      <c r="N145" s="841">
        <v>13000000</v>
      </c>
      <c r="O145" s="706">
        <v>2</v>
      </c>
      <c r="P145" s="841">
        <v>13000000</v>
      </c>
      <c r="Q145" s="706">
        <v>2</v>
      </c>
      <c r="R145" s="841">
        <v>13000000</v>
      </c>
      <c r="S145" s="706">
        <v>2</v>
      </c>
      <c r="T145" s="841">
        <v>13000000</v>
      </c>
      <c r="U145" s="706">
        <v>2</v>
      </c>
      <c r="V145" s="841">
        <v>13000000</v>
      </c>
      <c r="W145" s="842"/>
      <c r="X145" s="164"/>
      <c r="Y145" s="837" t="s">
        <v>1535</v>
      </c>
    </row>
    <row r="146" spans="2:25" ht="51" x14ac:dyDescent="0.25">
      <c r="B146" s="2012"/>
      <c r="C146" s="674"/>
      <c r="D146" s="674"/>
      <c r="E146" s="674"/>
      <c r="F146" s="674"/>
      <c r="G146" s="173" t="s">
        <v>2012</v>
      </c>
      <c r="H146" s="173" t="s">
        <v>2013</v>
      </c>
      <c r="I146" s="165" t="s">
        <v>75</v>
      </c>
      <c r="J146" s="832"/>
      <c r="K146" s="706">
        <v>4</v>
      </c>
      <c r="L146" s="841">
        <v>750000</v>
      </c>
      <c r="M146" s="706"/>
      <c r="N146" s="841">
        <v>0</v>
      </c>
      <c r="O146" s="706"/>
      <c r="P146" s="841">
        <v>0</v>
      </c>
      <c r="Q146" s="706"/>
      <c r="R146" s="841">
        <v>0</v>
      </c>
      <c r="S146" s="706"/>
      <c r="T146" s="841">
        <v>0</v>
      </c>
      <c r="U146" s="706"/>
      <c r="V146" s="841">
        <v>0</v>
      </c>
      <c r="W146" s="842"/>
      <c r="X146" s="164"/>
      <c r="Y146" s="837" t="s">
        <v>1535</v>
      </c>
    </row>
    <row r="147" spans="2:25" ht="25.5" x14ac:dyDescent="0.25">
      <c r="B147" s="2012"/>
      <c r="C147" s="674"/>
      <c r="D147" s="674"/>
      <c r="E147" s="674"/>
      <c r="F147" s="674"/>
      <c r="G147" s="173" t="s">
        <v>2014</v>
      </c>
      <c r="H147" s="173" t="s">
        <v>2015</v>
      </c>
      <c r="I147" s="165" t="s">
        <v>40</v>
      </c>
      <c r="J147" s="865"/>
      <c r="K147" s="843">
        <v>12</v>
      </c>
      <c r="L147" s="841">
        <v>20000</v>
      </c>
      <c r="M147" s="843">
        <v>12</v>
      </c>
      <c r="N147" s="841">
        <v>25000</v>
      </c>
      <c r="O147" s="843">
        <v>12</v>
      </c>
      <c r="P147" s="841">
        <v>30000</v>
      </c>
      <c r="Q147" s="843">
        <v>12</v>
      </c>
      <c r="R147" s="841">
        <v>35000</v>
      </c>
      <c r="S147" s="843">
        <v>12</v>
      </c>
      <c r="T147" s="841">
        <v>40000</v>
      </c>
      <c r="U147" s="843">
        <v>12</v>
      </c>
      <c r="V147" s="841">
        <v>40000</v>
      </c>
      <c r="W147" s="842"/>
      <c r="X147" s="164"/>
      <c r="Y147" s="837" t="s">
        <v>1535</v>
      </c>
    </row>
    <row r="148" spans="2:25" ht="38.25" x14ac:dyDescent="0.25">
      <c r="B148" s="2012"/>
      <c r="C148" s="674"/>
      <c r="D148" s="674"/>
      <c r="E148" s="674"/>
      <c r="F148" s="674"/>
      <c r="G148" s="173" t="s">
        <v>2016</v>
      </c>
      <c r="H148" s="173" t="s">
        <v>2017</v>
      </c>
      <c r="I148" s="165" t="s">
        <v>322</v>
      </c>
      <c r="J148" s="832"/>
      <c r="K148" s="843">
        <v>230</v>
      </c>
      <c r="L148" s="164">
        <v>60000</v>
      </c>
      <c r="M148" s="843">
        <v>230</v>
      </c>
      <c r="N148" s="164">
        <v>65000</v>
      </c>
      <c r="O148" s="843">
        <v>230</v>
      </c>
      <c r="P148" s="164">
        <v>70000</v>
      </c>
      <c r="Q148" s="843">
        <v>230</v>
      </c>
      <c r="R148" s="164">
        <v>75000</v>
      </c>
      <c r="S148" s="843">
        <v>230</v>
      </c>
      <c r="T148" s="164">
        <v>80000</v>
      </c>
      <c r="U148" s="843">
        <v>230</v>
      </c>
      <c r="V148" s="164">
        <v>80000</v>
      </c>
      <c r="W148" s="842"/>
      <c r="X148" s="164"/>
      <c r="Y148" s="837" t="s">
        <v>1535</v>
      </c>
    </row>
    <row r="149" spans="2:25" ht="72" x14ac:dyDescent="0.25">
      <c r="B149" s="2012"/>
      <c r="C149" s="674"/>
      <c r="D149" s="674"/>
      <c r="E149" s="674"/>
      <c r="F149" s="170"/>
      <c r="G149" s="685" t="s">
        <v>1500</v>
      </c>
      <c r="H149" s="685" t="s">
        <v>3188</v>
      </c>
      <c r="I149" s="686" t="s">
        <v>79</v>
      </c>
      <c r="J149" s="864">
        <v>9</v>
      </c>
      <c r="K149" s="836">
        <v>9</v>
      </c>
      <c r="L149" s="668">
        <f>SUM(L150:L151)</f>
        <v>452000</v>
      </c>
      <c r="M149" s="836">
        <v>9</v>
      </c>
      <c r="N149" s="668">
        <f>SUM(N150:N151)</f>
        <v>525000</v>
      </c>
      <c r="O149" s="836">
        <v>9</v>
      </c>
      <c r="P149" s="668">
        <f>SUM(P150:P151)</f>
        <v>525000</v>
      </c>
      <c r="Q149" s="836">
        <v>9</v>
      </c>
      <c r="R149" s="668">
        <f>SUM(R150:R151)</f>
        <v>530000</v>
      </c>
      <c r="S149" s="836">
        <v>9</v>
      </c>
      <c r="T149" s="668">
        <f>SUM(T150:T151)</f>
        <v>530000</v>
      </c>
      <c r="U149" s="836">
        <v>9</v>
      </c>
      <c r="V149" s="668">
        <f>SUM(V150:V151)</f>
        <v>530000</v>
      </c>
      <c r="W149" s="835">
        <v>45</v>
      </c>
      <c r="X149" s="668"/>
      <c r="Y149" s="837" t="s">
        <v>1535</v>
      </c>
    </row>
    <row r="150" spans="2:25" ht="76.5" x14ac:dyDescent="0.25">
      <c r="B150" s="2012"/>
      <c r="C150" s="674"/>
      <c r="D150" s="674"/>
      <c r="E150" s="674"/>
      <c r="F150" s="674"/>
      <c r="G150" s="673" t="s">
        <v>80</v>
      </c>
      <c r="H150" s="703" t="s">
        <v>2018</v>
      </c>
      <c r="I150" s="165"/>
      <c r="J150" s="832"/>
      <c r="K150" s="843">
        <v>9</v>
      </c>
      <c r="L150" s="164">
        <v>20000</v>
      </c>
      <c r="M150" s="843">
        <v>9</v>
      </c>
      <c r="N150" s="164">
        <v>25000</v>
      </c>
      <c r="O150" s="843">
        <v>9</v>
      </c>
      <c r="P150" s="164">
        <v>25000</v>
      </c>
      <c r="Q150" s="843">
        <v>9</v>
      </c>
      <c r="R150" s="164">
        <v>30000</v>
      </c>
      <c r="S150" s="843">
        <v>9</v>
      </c>
      <c r="T150" s="164">
        <v>30000</v>
      </c>
      <c r="U150" s="843">
        <v>9</v>
      </c>
      <c r="V150" s="164">
        <v>30000</v>
      </c>
      <c r="W150" s="842"/>
      <c r="X150" s="164"/>
      <c r="Y150" s="837" t="s">
        <v>1535</v>
      </c>
    </row>
    <row r="151" spans="2:25" ht="38.25" x14ac:dyDescent="0.25">
      <c r="B151" s="2012"/>
      <c r="C151" s="674"/>
      <c r="D151" s="674"/>
      <c r="E151" s="674"/>
      <c r="F151" s="674"/>
      <c r="G151" s="675"/>
      <c r="H151" s="173" t="s">
        <v>3187</v>
      </c>
      <c r="I151" s="165" t="s">
        <v>275</v>
      </c>
      <c r="J151" s="843">
        <v>5</v>
      </c>
      <c r="K151" s="843">
        <v>3</v>
      </c>
      <c r="L151" s="164">
        <v>432000</v>
      </c>
      <c r="M151" s="843">
        <v>1</v>
      </c>
      <c r="N151" s="164">
        <v>500000</v>
      </c>
      <c r="O151" s="843">
        <v>1</v>
      </c>
      <c r="P151" s="164">
        <v>500000</v>
      </c>
      <c r="Q151" s="843">
        <v>1</v>
      </c>
      <c r="R151" s="164">
        <v>500000</v>
      </c>
      <c r="S151" s="843">
        <v>1</v>
      </c>
      <c r="T151" s="164">
        <v>500000</v>
      </c>
      <c r="U151" s="843">
        <v>1</v>
      </c>
      <c r="V151" s="164">
        <v>500000</v>
      </c>
      <c r="W151" s="842">
        <v>7</v>
      </c>
      <c r="X151" s="164"/>
      <c r="Y151" s="837" t="s">
        <v>1535</v>
      </c>
    </row>
    <row r="152" spans="2:25" ht="60" x14ac:dyDescent="0.25">
      <c r="B152" s="2012"/>
      <c r="C152" s="674"/>
      <c r="D152" s="674"/>
      <c r="E152" s="674"/>
      <c r="F152" s="170"/>
      <c r="G152" s="685" t="s">
        <v>1645</v>
      </c>
      <c r="H152" s="685" t="s">
        <v>3214</v>
      </c>
      <c r="I152" s="669" t="s">
        <v>79</v>
      </c>
      <c r="J152" s="836">
        <v>0</v>
      </c>
      <c r="K152" s="836">
        <v>1</v>
      </c>
      <c r="L152" s="668">
        <f>SUM(L153)</f>
        <v>25000</v>
      </c>
      <c r="M152" s="836">
        <v>1</v>
      </c>
      <c r="N152" s="668">
        <f>SUM(N153)</f>
        <v>25000</v>
      </c>
      <c r="O152" s="836">
        <v>1</v>
      </c>
      <c r="P152" s="668">
        <f>SUM(P153)</f>
        <v>30000</v>
      </c>
      <c r="Q152" s="836">
        <v>1</v>
      </c>
      <c r="R152" s="668">
        <f>SUM(R153)</f>
        <v>40000</v>
      </c>
      <c r="S152" s="836">
        <v>1</v>
      </c>
      <c r="T152" s="668">
        <f>SUM(T153)</f>
        <v>50000</v>
      </c>
      <c r="U152" s="836">
        <v>1</v>
      </c>
      <c r="V152" s="668">
        <f>SUM(V153)</f>
        <v>50000</v>
      </c>
      <c r="W152" s="835">
        <v>6</v>
      </c>
      <c r="X152" s="668"/>
      <c r="Y152" s="837" t="s">
        <v>1535</v>
      </c>
    </row>
    <row r="153" spans="2:25" ht="38.25" x14ac:dyDescent="0.25">
      <c r="B153" s="2012"/>
      <c r="C153" s="674"/>
      <c r="D153" s="674"/>
      <c r="E153" s="674"/>
      <c r="F153" s="674"/>
      <c r="G153" s="173" t="s">
        <v>169</v>
      </c>
      <c r="H153" s="173" t="s">
        <v>2019</v>
      </c>
      <c r="I153" s="162"/>
      <c r="J153" s="843"/>
      <c r="K153" s="843">
        <v>1</v>
      </c>
      <c r="L153" s="164">
        <v>25000</v>
      </c>
      <c r="M153" s="843">
        <v>1</v>
      </c>
      <c r="N153" s="164">
        <v>25000</v>
      </c>
      <c r="O153" s="843">
        <v>1</v>
      </c>
      <c r="P153" s="164">
        <v>30000</v>
      </c>
      <c r="Q153" s="843">
        <v>1</v>
      </c>
      <c r="R153" s="164">
        <v>40000</v>
      </c>
      <c r="S153" s="843">
        <v>1</v>
      </c>
      <c r="T153" s="164">
        <v>50000</v>
      </c>
      <c r="U153" s="843">
        <v>1</v>
      </c>
      <c r="V153" s="164">
        <v>50000</v>
      </c>
      <c r="W153" s="842"/>
      <c r="X153" s="164"/>
      <c r="Y153" s="837" t="s">
        <v>1535</v>
      </c>
    </row>
    <row r="154" spans="2:25" ht="60.75" thickBot="1" x14ac:dyDescent="0.3">
      <c r="B154" s="2012"/>
      <c r="C154" s="674"/>
      <c r="D154" s="674"/>
      <c r="E154" s="674"/>
      <c r="F154" s="170"/>
      <c r="G154" s="685" t="s">
        <v>688</v>
      </c>
      <c r="H154" s="224" t="s">
        <v>689</v>
      </c>
      <c r="I154" s="678" t="s">
        <v>19</v>
      </c>
      <c r="J154" s="226">
        <v>79</v>
      </c>
      <c r="K154" s="226">
        <v>79</v>
      </c>
      <c r="L154" s="228">
        <f>SUM(L155:L156)</f>
        <v>0</v>
      </c>
      <c r="M154" s="226">
        <v>79</v>
      </c>
      <c r="N154" s="228">
        <f>SUM(N155:N156)</f>
        <v>100000</v>
      </c>
      <c r="O154" s="226">
        <v>80</v>
      </c>
      <c r="P154" s="228">
        <f>SUM(P155:P156)</f>
        <v>100000</v>
      </c>
      <c r="Q154" s="226">
        <v>80</v>
      </c>
      <c r="R154" s="228">
        <f>SUM(R155:R156)</f>
        <v>100000</v>
      </c>
      <c r="S154" s="226">
        <v>83</v>
      </c>
      <c r="T154" s="228">
        <f>SUM(T155:T156)</f>
        <v>100000</v>
      </c>
      <c r="U154" s="226">
        <v>83</v>
      </c>
      <c r="V154" s="228">
        <f>SUM(V155:V156)</f>
        <v>100000</v>
      </c>
      <c r="W154" s="225">
        <v>83</v>
      </c>
      <c r="X154" s="224"/>
      <c r="Y154" s="837" t="s">
        <v>1535</v>
      </c>
    </row>
    <row r="155" spans="2:25" ht="51.75" thickTop="1" x14ac:dyDescent="0.25">
      <c r="B155" s="2012"/>
      <c r="C155" s="674"/>
      <c r="D155" s="674"/>
      <c r="E155" s="674"/>
      <c r="F155" s="674"/>
      <c r="G155" s="173" t="s">
        <v>1969</v>
      </c>
      <c r="H155" s="173" t="s">
        <v>1970</v>
      </c>
      <c r="I155" s="165" t="s">
        <v>79</v>
      </c>
      <c r="J155" s="843"/>
      <c r="K155" s="843">
        <v>0</v>
      </c>
      <c r="L155" s="164">
        <v>0</v>
      </c>
      <c r="M155" s="843">
        <v>2</v>
      </c>
      <c r="N155" s="164">
        <v>50000</v>
      </c>
      <c r="O155" s="843">
        <v>2</v>
      </c>
      <c r="P155" s="164">
        <v>50000</v>
      </c>
      <c r="Q155" s="843">
        <v>2</v>
      </c>
      <c r="R155" s="164">
        <v>50000</v>
      </c>
      <c r="S155" s="843">
        <v>2</v>
      </c>
      <c r="T155" s="164">
        <v>50000</v>
      </c>
      <c r="U155" s="843">
        <v>2</v>
      </c>
      <c r="V155" s="164">
        <v>50000</v>
      </c>
      <c r="W155" s="842"/>
      <c r="X155" s="164"/>
      <c r="Y155" s="837" t="s">
        <v>1535</v>
      </c>
    </row>
    <row r="156" spans="2:25" ht="38.25" x14ac:dyDescent="0.25">
      <c r="B156" s="2015"/>
      <c r="C156" s="675"/>
      <c r="D156" s="675"/>
      <c r="E156" s="675"/>
      <c r="F156" s="675"/>
      <c r="G156" s="173" t="s">
        <v>1971</v>
      </c>
      <c r="H156" s="173" t="s">
        <v>1972</v>
      </c>
      <c r="I156" s="165" t="s">
        <v>79</v>
      </c>
      <c r="J156" s="843"/>
      <c r="K156" s="843">
        <v>0</v>
      </c>
      <c r="L156" s="164">
        <v>0</v>
      </c>
      <c r="M156" s="843">
        <v>1</v>
      </c>
      <c r="N156" s="164">
        <v>50000</v>
      </c>
      <c r="O156" s="843">
        <v>1</v>
      </c>
      <c r="P156" s="164">
        <v>50000</v>
      </c>
      <c r="Q156" s="843">
        <v>1</v>
      </c>
      <c r="R156" s="164">
        <v>50000</v>
      </c>
      <c r="S156" s="843">
        <v>1</v>
      </c>
      <c r="T156" s="164">
        <v>50000</v>
      </c>
      <c r="U156" s="843">
        <v>1</v>
      </c>
      <c r="V156" s="164">
        <v>50000</v>
      </c>
      <c r="W156" s="842"/>
      <c r="X156" s="164"/>
      <c r="Y156" s="837" t="s">
        <v>1535</v>
      </c>
    </row>
    <row r="157" spans="2:25" ht="13.5" thickBot="1" x14ac:dyDescent="0.3">
      <c r="B157" s="866"/>
      <c r="C157" s="2037" t="s">
        <v>2020</v>
      </c>
      <c r="D157" s="2037"/>
      <c r="E157" s="2037"/>
      <c r="F157" s="2037"/>
      <c r="G157" s="2037"/>
      <c r="H157" s="867"/>
      <c r="I157" s="867"/>
      <c r="J157" s="868"/>
      <c r="K157" s="869"/>
      <c r="L157" s="870">
        <f>SUM(L7:L156)/2</f>
        <v>357966708</v>
      </c>
      <c r="M157" s="869"/>
      <c r="N157" s="870">
        <f>SUM(N7:N156)/2</f>
        <v>377392820</v>
      </c>
      <c r="O157" s="869"/>
      <c r="P157" s="870">
        <f>SUM(P7:P156)/2</f>
        <v>394540757</v>
      </c>
      <c r="Q157" s="869"/>
      <c r="R157" s="870">
        <f>SUM(R7:R156)/2</f>
        <v>407705862</v>
      </c>
      <c r="S157" s="869"/>
      <c r="T157" s="870">
        <f>SUM(T7:T156)/2</f>
        <v>418718437</v>
      </c>
      <c r="U157" s="869"/>
      <c r="V157" s="870">
        <f>SUM(V7:V156)/2</f>
        <v>418718437</v>
      </c>
      <c r="W157" s="871"/>
      <c r="X157" s="872"/>
      <c r="Y157" s="873"/>
    </row>
    <row r="158" spans="2:25" ht="13.5" thickTop="1" x14ac:dyDescent="0.25">
      <c r="L158" s="875"/>
    </row>
    <row r="159" spans="2:25" ht="13.5" thickBot="1" x14ac:dyDescent="0.3">
      <c r="B159" s="704" t="s">
        <v>1571</v>
      </c>
      <c r="C159" s="705"/>
      <c r="D159" s="705"/>
      <c r="E159" s="705"/>
      <c r="F159" s="705"/>
      <c r="G159" s="705"/>
      <c r="H159" s="877"/>
      <c r="I159" s="878"/>
      <c r="J159" s="879"/>
      <c r="K159" s="879"/>
      <c r="L159" s="880"/>
      <c r="M159" s="879"/>
      <c r="N159" s="881"/>
      <c r="O159" s="879"/>
      <c r="P159" s="881"/>
      <c r="Q159" s="879"/>
      <c r="R159" s="881"/>
      <c r="S159" s="879"/>
      <c r="T159" s="881"/>
      <c r="U159" s="879"/>
      <c r="V159" s="881"/>
      <c r="W159" s="882"/>
      <c r="X159" s="883"/>
      <c r="Y159" s="883"/>
    </row>
    <row r="160" spans="2:25" s="219" customFormat="1" thickTop="1" x14ac:dyDescent="0.2">
      <c r="B160" s="1932" t="s">
        <v>1</v>
      </c>
      <c r="C160" s="1934" t="s">
        <v>2</v>
      </c>
      <c r="D160" s="1934" t="s">
        <v>3</v>
      </c>
      <c r="E160" s="1934" t="s">
        <v>4</v>
      </c>
      <c r="F160" s="1934" t="s">
        <v>5</v>
      </c>
      <c r="G160" s="1934" t="s">
        <v>6</v>
      </c>
      <c r="H160" s="1934" t="s">
        <v>1854</v>
      </c>
      <c r="I160" s="1934" t="s">
        <v>31</v>
      </c>
      <c r="J160" s="1936" t="s">
        <v>1855</v>
      </c>
      <c r="K160" s="1934" t="s">
        <v>7</v>
      </c>
      <c r="L160" s="1934"/>
      <c r="M160" s="1934"/>
      <c r="N160" s="1934"/>
      <c r="O160" s="1934"/>
      <c r="P160" s="1934"/>
      <c r="Q160" s="1934"/>
      <c r="R160" s="1934"/>
      <c r="S160" s="1934"/>
      <c r="T160" s="1934"/>
      <c r="U160" s="1934"/>
      <c r="V160" s="1934"/>
      <c r="W160" s="1934"/>
      <c r="X160" s="1934" t="s">
        <v>8</v>
      </c>
      <c r="Y160" s="1938" t="s">
        <v>1856</v>
      </c>
    </row>
    <row r="161" spans="2:25" s="219" customFormat="1" ht="12" x14ac:dyDescent="0.2">
      <c r="B161" s="1933"/>
      <c r="C161" s="1935"/>
      <c r="D161" s="1935"/>
      <c r="E161" s="1935"/>
      <c r="F161" s="1935"/>
      <c r="G161" s="1935"/>
      <c r="H161" s="1935"/>
      <c r="I161" s="1935"/>
      <c r="J161" s="1937"/>
      <c r="K161" s="1935">
        <v>2016</v>
      </c>
      <c r="L161" s="1935"/>
      <c r="M161" s="1935">
        <v>2017</v>
      </c>
      <c r="N161" s="1935"/>
      <c r="O161" s="1935">
        <v>2018</v>
      </c>
      <c r="P161" s="1935"/>
      <c r="Q161" s="1935">
        <v>2019</v>
      </c>
      <c r="R161" s="1935"/>
      <c r="S161" s="1935">
        <v>2020</v>
      </c>
      <c r="T161" s="1935"/>
      <c r="U161" s="1935">
        <v>2021</v>
      </c>
      <c r="V161" s="1935"/>
      <c r="W161" s="1940" t="s">
        <v>1857</v>
      </c>
      <c r="X161" s="1935"/>
      <c r="Y161" s="1939"/>
    </row>
    <row r="162" spans="2:25" s="219" customFormat="1" ht="12" x14ac:dyDescent="0.2">
      <c r="B162" s="1933"/>
      <c r="C162" s="1935"/>
      <c r="D162" s="1935"/>
      <c r="E162" s="1935"/>
      <c r="F162" s="1935"/>
      <c r="G162" s="1935"/>
      <c r="H162" s="1935"/>
      <c r="I162" s="1935"/>
      <c r="J162" s="1937"/>
      <c r="K162" s="707" t="s">
        <v>1858</v>
      </c>
      <c r="L162" s="1889" t="s">
        <v>1355</v>
      </c>
      <c r="M162" s="844" t="s">
        <v>1858</v>
      </c>
      <c r="N162" s="1889" t="s">
        <v>1355</v>
      </c>
      <c r="O162" s="844" t="s">
        <v>1858</v>
      </c>
      <c r="P162" s="1889" t="s">
        <v>1355</v>
      </c>
      <c r="Q162" s="844" t="s">
        <v>1858</v>
      </c>
      <c r="R162" s="1889" t="s">
        <v>1355</v>
      </c>
      <c r="S162" s="844" t="s">
        <v>1858</v>
      </c>
      <c r="T162" s="1889" t="s">
        <v>1355</v>
      </c>
      <c r="U162" s="844" t="s">
        <v>1858</v>
      </c>
      <c r="V162" s="1889" t="s">
        <v>1355</v>
      </c>
      <c r="W162" s="1940"/>
      <c r="X162" s="1935"/>
      <c r="Y162" s="1939"/>
    </row>
    <row r="163" spans="2:25" ht="72" x14ac:dyDescent="0.25">
      <c r="B163" s="2011" t="s">
        <v>1357</v>
      </c>
      <c r="C163" s="1954" t="s">
        <v>3960</v>
      </c>
      <c r="D163" s="172" t="s">
        <v>3993</v>
      </c>
      <c r="E163" s="172" t="s">
        <v>3997</v>
      </c>
      <c r="F163" s="685" t="s">
        <v>3996</v>
      </c>
      <c r="G163" s="976" t="s">
        <v>3995</v>
      </c>
      <c r="H163" s="1791"/>
      <c r="I163" s="976" t="s">
        <v>19</v>
      </c>
      <c r="J163" s="707">
        <v>80</v>
      </c>
      <c r="K163" s="836">
        <v>55</v>
      </c>
      <c r="L163" s="708"/>
      <c r="M163" s="836">
        <v>61</v>
      </c>
      <c r="N163" s="1073"/>
      <c r="O163" s="836">
        <v>68</v>
      </c>
      <c r="P163" s="1073"/>
      <c r="Q163" s="836">
        <v>75</v>
      </c>
      <c r="R163" s="1073"/>
      <c r="S163" s="836">
        <v>82</v>
      </c>
      <c r="T163" s="1073"/>
      <c r="U163" s="836">
        <v>89</v>
      </c>
      <c r="V163" s="1073"/>
      <c r="W163" s="835">
        <v>89</v>
      </c>
      <c r="X163" s="221"/>
      <c r="Y163" s="884" t="s">
        <v>1571</v>
      </c>
    </row>
    <row r="164" spans="2:25" ht="48" x14ac:dyDescent="0.25">
      <c r="B164" s="2012"/>
      <c r="C164" s="1955"/>
      <c r="D164" s="674"/>
      <c r="E164" s="674"/>
      <c r="F164" s="172"/>
      <c r="G164" s="685" t="s">
        <v>1391</v>
      </c>
      <c r="H164" s="685" t="s">
        <v>3994</v>
      </c>
      <c r="I164" s="686" t="s">
        <v>19</v>
      </c>
      <c r="J164" s="707">
        <v>80</v>
      </c>
      <c r="K164" s="836">
        <v>55</v>
      </c>
      <c r="L164" s="708">
        <f>SUM(L165:L171)</f>
        <v>20299600</v>
      </c>
      <c r="M164" s="836">
        <v>61</v>
      </c>
      <c r="N164" s="668">
        <f>SUM(N165:N171)</f>
        <v>26032300</v>
      </c>
      <c r="O164" s="836">
        <v>68</v>
      </c>
      <c r="P164" s="668">
        <f>SUM(P165:P171)</f>
        <v>25359700</v>
      </c>
      <c r="Q164" s="836">
        <v>75</v>
      </c>
      <c r="R164" s="668">
        <f>SUM(R165:R171)</f>
        <v>28422600</v>
      </c>
      <c r="S164" s="836">
        <v>82</v>
      </c>
      <c r="T164" s="668">
        <f>SUM(T165:T171)</f>
        <v>26505500</v>
      </c>
      <c r="U164" s="836">
        <v>89</v>
      </c>
      <c r="V164" s="668">
        <f>SUM(V165:V171)</f>
        <v>26555500</v>
      </c>
      <c r="W164" s="835">
        <v>89</v>
      </c>
      <c r="X164" s="221"/>
      <c r="Y164" s="884" t="s">
        <v>1571</v>
      </c>
    </row>
    <row r="165" spans="2:25" ht="63.75" x14ac:dyDescent="0.25">
      <c r="B165" s="2012"/>
      <c r="C165" s="674"/>
      <c r="D165" s="674"/>
      <c r="E165" s="674"/>
      <c r="F165" s="674"/>
      <c r="G165" s="173" t="s">
        <v>2021</v>
      </c>
      <c r="H165" s="173" t="s">
        <v>2022</v>
      </c>
      <c r="I165" s="165" t="s">
        <v>324</v>
      </c>
      <c r="J165" s="706">
        <v>22</v>
      </c>
      <c r="K165" s="706">
        <v>2</v>
      </c>
      <c r="L165" s="168">
        <v>100000</v>
      </c>
      <c r="M165" s="706">
        <v>5</v>
      </c>
      <c r="N165" s="164">
        <v>250000</v>
      </c>
      <c r="O165" s="706">
        <v>5</v>
      </c>
      <c r="P165" s="164">
        <v>250000</v>
      </c>
      <c r="Q165" s="706">
        <v>5</v>
      </c>
      <c r="R165" s="164">
        <v>250000</v>
      </c>
      <c r="S165" s="706">
        <v>5</v>
      </c>
      <c r="T165" s="164">
        <v>250000</v>
      </c>
      <c r="U165" s="706">
        <v>5</v>
      </c>
      <c r="V165" s="164">
        <v>250000</v>
      </c>
      <c r="W165" s="842">
        <v>22</v>
      </c>
      <c r="X165" s="885"/>
      <c r="Y165" s="884" t="s">
        <v>1571</v>
      </c>
    </row>
    <row r="166" spans="2:25" ht="51" x14ac:dyDescent="0.25">
      <c r="B166" s="2012"/>
      <c r="C166" s="674"/>
      <c r="D166" s="674"/>
      <c r="E166" s="674"/>
      <c r="F166" s="674"/>
      <c r="G166" s="173" t="s">
        <v>2023</v>
      </c>
      <c r="H166" s="173" t="s">
        <v>2024</v>
      </c>
      <c r="I166" s="165" t="s">
        <v>324</v>
      </c>
      <c r="J166" s="706">
        <v>0</v>
      </c>
      <c r="K166" s="706">
        <v>1</v>
      </c>
      <c r="L166" s="168">
        <v>200000</v>
      </c>
      <c r="M166" s="706">
        <v>0</v>
      </c>
      <c r="N166" s="164">
        <v>0</v>
      </c>
      <c r="O166" s="706">
        <v>0</v>
      </c>
      <c r="P166" s="164">
        <v>0</v>
      </c>
      <c r="Q166" s="706">
        <v>0</v>
      </c>
      <c r="R166" s="164">
        <v>0</v>
      </c>
      <c r="S166" s="706">
        <v>0</v>
      </c>
      <c r="T166" s="164">
        <v>0</v>
      </c>
      <c r="U166" s="706">
        <v>0</v>
      </c>
      <c r="V166" s="164">
        <v>0</v>
      </c>
      <c r="W166" s="842">
        <v>1</v>
      </c>
      <c r="X166" s="885"/>
      <c r="Y166" s="884" t="s">
        <v>1571</v>
      </c>
    </row>
    <row r="167" spans="2:25" ht="51" x14ac:dyDescent="0.25">
      <c r="B167" s="2012"/>
      <c r="C167" s="674"/>
      <c r="D167" s="674"/>
      <c r="E167" s="674"/>
      <c r="F167" s="674"/>
      <c r="G167" s="173" t="s">
        <v>2025</v>
      </c>
      <c r="H167" s="173" t="s">
        <v>2026</v>
      </c>
      <c r="I167" s="165" t="s">
        <v>324</v>
      </c>
      <c r="J167" s="706">
        <v>38</v>
      </c>
      <c r="K167" s="706">
        <v>2</v>
      </c>
      <c r="L167" s="168">
        <v>100000</v>
      </c>
      <c r="M167" s="706">
        <v>9</v>
      </c>
      <c r="N167" s="164">
        <v>450000</v>
      </c>
      <c r="O167" s="706">
        <v>9</v>
      </c>
      <c r="P167" s="164">
        <v>450000</v>
      </c>
      <c r="Q167" s="706">
        <v>9</v>
      </c>
      <c r="R167" s="164">
        <v>450000</v>
      </c>
      <c r="S167" s="706">
        <v>9</v>
      </c>
      <c r="T167" s="164">
        <v>450000</v>
      </c>
      <c r="U167" s="706">
        <v>9</v>
      </c>
      <c r="V167" s="164">
        <v>450000</v>
      </c>
      <c r="W167" s="842">
        <v>38</v>
      </c>
      <c r="X167" s="885"/>
      <c r="Y167" s="884" t="s">
        <v>1571</v>
      </c>
    </row>
    <row r="168" spans="2:25" ht="51" x14ac:dyDescent="0.25">
      <c r="B168" s="2012"/>
      <c r="C168" s="674"/>
      <c r="D168" s="674"/>
      <c r="E168" s="674"/>
      <c r="F168" s="674"/>
      <c r="G168" s="173" t="s">
        <v>2027</v>
      </c>
      <c r="H168" s="173" t="s">
        <v>2028</v>
      </c>
      <c r="I168" s="165" t="s">
        <v>251</v>
      </c>
      <c r="J168" s="706">
        <v>172</v>
      </c>
      <c r="K168" s="706">
        <v>35</v>
      </c>
      <c r="L168" s="168">
        <v>12300000</v>
      </c>
      <c r="M168" s="706">
        <v>28</v>
      </c>
      <c r="N168" s="164">
        <v>17330500</v>
      </c>
      <c r="O168" s="706">
        <v>26</v>
      </c>
      <c r="P168" s="164">
        <v>16390000</v>
      </c>
      <c r="Q168" s="706">
        <v>28</v>
      </c>
      <c r="R168" s="164">
        <v>19185000</v>
      </c>
      <c r="S168" s="706">
        <v>28</v>
      </c>
      <c r="T168" s="164">
        <v>17000000</v>
      </c>
      <c r="U168" s="706">
        <v>30</v>
      </c>
      <c r="V168" s="164">
        <v>17500000</v>
      </c>
      <c r="W168" s="842">
        <v>145</v>
      </c>
      <c r="X168" s="885"/>
      <c r="Y168" s="884" t="s">
        <v>1571</v>
      </c>
    </row>
    <row r="169" spans="2:25" ht="63.75" x14ac:dyDescent="0.25">
      <c r="B169" s="2012"/>
      <c r="C169" s="674"/>
      <c r="D169" s="674"/>
      <c r="E169" s="674"/>
      <c r="F169" s="674"/>
      <c r="G169" s="173" t="s">
        <v>2029</v>
      </c>
      <c r="H169" s="173" t="s">
        <v>2030</v>
      </c>
      <c r="I169" s="165" t="s">
        <v>282</v>
      </c>
      <c r="J169" s="706">
        <v>38</v>
      </c>
      <c r="K169" s="706">
        <v>38</v>
      </c>
      <c r="L169" s="168">
        <v>40000</v>
      </c>
      <c r="M169" s="706">
        <v>38</v>
      </c>
      <c r="N169" s="164">
        <v>50000</v>
      </c>
      <c r="O169" s="706">
        <v>38</v>
      </c>
      <c r="P169" s="164">
        <v>50000</v>
      </c>
      <c r="Q169" s="706">
        <v>38</v>
      </c>
      <c r="R169" s="164">
        <v>50000</v>
      </c>
      <c r="S169" s="706">
        <v>38</v>
      </c>
      <c r="T169" s="164">
        <v>50000</v>
      </c>
      <c r="U169" s="706">
        <v>38</v>
      </c>
      <c r="V169" s="164">
        <v>50000</v>
      </c>
      <c r="W169" s="842">
        <v>190</v>
      </c>
      <c r="X169" s="885"/>
      <c r="Y169" s="884" t="s">
        <v>1571</v>
      </c>
    </row>
    <row r="170" spans="2:25" ht="63.75" x14ac:dyDescent="0.25">
      <c r="B170" s="2012"/>
      <c r="C170" s="674"/>
      <c r="D170" s="674"/>
      <c r="E170" s="674"/>
      <c r="F170" s="674"/>
      <c r="G170" s="173" t="s">
        <v>2031</v>
      </c>
      <c r="H170" s="173" t="s">
        <v>2032</v>
      </c>
      <c r="I170" s="165" t="s">
        <v>324</v>
      </c>
      <c r="J170" s="706">
        <v>72</v>
      </c>
      <c r="K170" s="706">
        <v>11</v>
      </c>
      <c r="L170" s="168">
        <v>2750000</v>
      </c>
      <c r="M170" s="706">
        <v>20</v>
      </c>
      <c r="N170" s="164">
        <v>3000000</v>
      </c>
      <c r="O170" s="706">
        <v>21</v>
      </c>
      <c r="P170" s="164">
        <v>3150000</v>
      </c>
      <c r="Q170" s="706">
        <v>22</v>
      </c>
      <c r="R170" s="164">
        <v>3300000</v>
      </c>
      <c r="S170" s="706">
        <v>23</v>
      </c>
      <c r="T170" s="164">
        <v>3450000</v>
      </c>
      <c r="U170" s="706">
        <v>20</v>
      </c>
      <c r="V170" s="164">
        <v>3000000</v>
      </c>
      <c r="W170" s="842">
        <v>97</v>
      </c>
      <c r="X170" s="885"/>
      <c r="Y170" s="884" t="s">
        <v>1571</v>
      </c>
    </row>
    <row r="171" spans="2:25" ht="51" x14ac:dyDescent="0.25">
      <c r="B171" s="2012"/>
      <c r="C171" s="674"/>
      <c r="D171" s="674"/>
      <c r="E171" s="674"/>
      <c r="F171" s="674"/>
      <c r="G171" s="173" t="s">
        <v>2033</v>
      </c>
      <c r="H171" s="173" t="s">
        <v>2034</v>
      </c>
      <c r="I171" s="165" t="s">
        <v>19</v>
      </c>
      <c r="J171" s="706">
        <v>80</v>
      </c>
      <c r="K171" s="706">
        <v>82</v>
      </c>
      <c r="L171" s="168">
        <v>4809600</v>
      </c>
      <c r="M171" s="706">
        <v>84</v>
      </c>
      <c r="N171" s="164">
        <v>4951800</v>
      </c>
      <c r="O171" s="706">
        <v>86</v>
      </c>
      <c r="P171" s="164">
        <v>5069700</v>
      </c>
      <c r="Q171" s="706">
        <v>88</v>
      </c>
      <c r="R171" s="164">
        <v>5187600</v>
      </c>
      <c r="S171" s="706">
        <v>90</v>
      </c>
      <c r="T171" s="164">
        <v>5305500</v>
      </c>
      <c r="U171" s="706">
        <v>90</v>
      </c>
      <c r="V171" s="164">
        <v>5305500</v>
      </c>
      <c r="W171" s="842">
        <v>430</v>
      </c>
      <c r="X171" s="885"/>
      <c r="Y171" s="884" t="s">
        <v>1571</v>
      </c>
    </row>
    <row r="172" spans="2:25" x14ac:dyDescent="0.25">
      <c r="B172" s="2012"/>
      <c r="C172" s="674"/>
      <c r="D172" s="173"/>
      <c r="E172" s="173"/>
      <c r="F172" s="173"/>
      <c r="G172" s="173"/>
      <c r="H172" s="173"/>
      <c r="I172" s="1755"/>
      <c r="J172" s="706"/>
      <c r="K172" s="706"/>
      <c r="L172" s="168"/>
      <c r="M172" s="706"/>
      <c r="N172" s="1754"/>
      <c r="O172" s="706"/>
      <c r="P172" s="1754"/>
      <c r="Q172" s="706"/>
      <c r="R172" s="1754"/>
      <c r="S172" s="706"/>
      <c r="T172" s="1754"/>
      <c r="U172" s="706"/>
      <c r="V172" s="1754"/>
      <c r="W172" s="842"/>
      <c r="X172" s="885"/>
      <c r="Y172" s="884"/>
    </row>
    <row r="173" spans="2:25" s="219" customFormat="1" ht="72" x14ac:dyDescent="0.2">
      <c r="B173" s="2012"/>
      <c r="C173" s="170"/>
      <c r="D173" s="685" t="s">
        <v>4000</v>
      </c>
      <c r="E173" s="685" t="s">
        <v>4001</v>
      </c>
      <c r="F173" s="685" t="s">
        <v>3999</v>
      </c>
      <c r="G173" s="976" t="s">
        <v>3998</v>
      </c>
      <c r="H173" s="1791"/>
      <c r="I173" s="976" t="s">
        <v>19</v>
      </c>
      <c r="J173" s="707">
        <v>84</v>
      </c>
      <c r="K173" s="836">
        <v>89</v>
      </c>
      <c r="L173" s="708"/>
      <c r="M173" s="836">
        <v>91</v>
      </c>
      <c r="N173" s="1073"/>
      <c r="O173" s="836">
        <v>92</v>
      </c>
      <c r="P173" s="1073"/>
      <c r="Q173" s="836">
        <v>93</v>
      </c>
      <c r="R173" s="1073"/>
      <c r="S173" s="836">
        <v>94</v>
      </c>
      <c r="T173" s="1073"/>
      <c r="U173" s="836">
        <v>95</v>
      </c>
      <c r="V173" s="1073"/>
      <c r="W173" s="835">
        <v>95</v>
      </c>
      <c r="X173" s="221"/>
      <c r="Y173" s="884"/>
    </row>
    <row r="174" spans="2:25" ht="48" x14ac:dyDescent="0.25">
      <c r="B174" s="2012"/>
      <c r="C174" s="674"/>
      <c r="D174" s="674"/>
      <c r="E174" s="674"/>
      <c r="F174" s="170"/>
      <c r="G174" s="685" t="s">
        <v>1572</v>
      </c>
      <c r="H174" s="685" t="s">
        <v>1573</v>
      </c>
      <c r="I174" s="976" t="s">
        <v>19</v>
      </c>
      <c r="J174" s="707">
        <v>84</v>
      </c>
      <c r="K174" s="836">
        <v>89</v>
      </c>
      <c r="L174" s="708">
        <f>SUM(L175:L178)</f>
        <v>10902900</v>
      </c>
      <c r="M174" s="836">
        <v>91</v>
      </c>
      <c r="N174" s="668">
        <f>SUM(N175:N178)</f>
        <v>15445500</v>
      </c>
      <c r="O174" s="836">
        <v>92</v>
      </c>
      <c r="P174" s="668">
        <f>SUM(P175:P178)</f>
        <v>12654700</v>
      </c>
      <c r="Q174" s="836">
        <v>93</v>
      </c>
      <c r="R174" s="668">
        <f>SUM(R175:R178)</f>
        <v>12587600</v>
      </c>
      <c r="S174" s="836">
        <v>94</v>
      </c>
      <c r="T174" s="668">
        <f>SUM(T175:T178)</f>
        <v>13010500</v>
      </c>
      <c r="U174" s="836">
        <v>95</v>
      </c>
      <c r="V174" s="668">
        <f>SUM(V175:V178)</f>
        <v>12455500</v>
      </c>
      <c r="W174" s="835">
        <v>459</v>
      </c>
      <c r="X174" s="221"/>
      <c r="Y174" s="884" t="s">
        <v>1571</v>
      </c>
    </row>
    <row r="175" spans="2:25" ht="63.75" x14ac:dyDescent="0.25">
      <c r="B175" s="2012"/>
      <c r="C175" s="674"/>
      <c r="D175" s="674"/>
      <c r="E175" s="674"/>
      <c r="F175" s="674"/>
      <c r="G175" s="173" t="s">
        <v>2035</v>
      </c>
      <c r="H175" s="173" t="s">
        <v>2036</v>
      </c>
      <c r="I175" s="165" t="s">
        <v>265</v>
      </c>
      <c r="J175" s="706">
        <v>1622</v>
      </c>
      <c r="K175" s="706">
        <v>60</v>
      </c>
      <c r="L175" s="168">
        <v>3243300</v>
      </c>
      <c r="M175" s="706">
        <v>25</v>
      </c>
      <c r="N175" s="164">
        <v>7393700</v>
      </c>
      <c r="O175" s="706">
        <v>25</v>
      </c>
      <c r="P175" s="164">
        <v>4335000</v>
      </c>
      <c r="Q175" s="706">
        <v>21</v>
      </c>
      <c r="R175" s="164">
        <v>4000000</v>
      </c>
      <c r="S175" s="706">
        <v>22</v>
      </c>
      <c r="T175" s="164">
        <v>4155000</v>
      </c>
      <c r="U175" s="886">
        <v>23</v>
      </c>
      <c r="V175" s="164">
        <v>4050000</v>
      </c>
      <c r="W175" s="842">
        <v>153</v>
      </c>
      <c r="X175" s="885"/>
      <c r="Y175" s="884" t="s">
        <v>1571</v>
      </c>
    </row>
    <row r="176" spans="2:25" ht="51" x14ac:dyDescent="0.25">
      <c r="B176" s="2012"/>
      <c r="C176" s="674"/>
      <c r="D176" s="674"/>
      <c r="E176" s="674"/>
      <c r="F176" s="674"/>
      <c r="G176" s="173" t="s">
        <v>2037</v>
      </c>
      <c r="H176" s="173" t="s">
        <v>2038</v>
      </c>
      <c r="I176" s="165" t="s">
        <v>257</v>
      </c>
      <c r="J176" s="706">
        <v>10</v>
      </c>
      <c r="K176" s="706">
        <v>2</v>
      </c>
      <c r="L176" s="168">
        <v>100000</v>
      </c>
      <c r="M176" s="706">
        <v>2</v>
      </c>
      <c r="N176" s="164">
        <v>100000</v>
      </c>
      <c r="O176" s="706">
        <v>2</v>
      </c>
      <c r="P176" s="164">
        <v>100000</v>
      </c>
      <c r="Q176" s="706">
        <v>2</v>
      </c>
      <c r="R176" s="164">
        <v>100000</v>
      </c>
      <c r="S176" s="706">
        <v>2</v>
      </c>
      <c r="T176" s="164">
        <v>100000</v>
      </c>
      <c r="U176" s="706">
        <v>2</v>
      </c>
      <c r="V176" s="164">
        <v>100000</v>
      </c>
      <c r="W176" s="842">
        <v>10</v>
      </c>
      <c r="X176" s="885"/>
      <c r="Y176" s="884" t="s">
        <v>1571</v>
      </c>
    </row>
    <row r="177" spans="2:25" ht="51" x14ac:dyDescent="0.25">
      <c r="B177" s="2012"/>
      <c r="C177" s="674"/>
      <c r="D177" s="674"/>
      <c r="E177" s="674"/>
      <c r="F177" s="674"/>
      <c r="G177" s="173" t="s">
        <v>2031</v>
      </c>
      <c r="H177" s="173" t="s">
        <v>2039</v>
      </c>
      <c r="I177" s="165" t="s">
        <v>324</v>
      </c>
      <c r="J177" s="706">
        <v>70</v>
      </c>
      <c r="K177" s="706">
        <v>11</v>
      </c>
      <c r="L177" s="168">
        <v>2750000</v>
      </c>
      <c r="M177" s="706">
        <v>20</v>
      </c>
      <c r="N177" s="164">
        <v>3000000</v>
      </c>
      <c r="O177" s="706">
        <v>21</v>
      </c>
      <c r="P177" s="164">
        <v>3150000</v>
      </c>
      <c r="Q177" s="706">
        <v>22</v>
      </c>
      <c r="R177" s="164">
        <v>3300000</v>
      </c>
      <c r="S177" s="706">
        <v>23</v>
      </c>
      <c r="T177" s="164">
        <v>3450000</v>
      </c>
      <c r="U177" s="706">
        <v>20</v>
      </c>
      <c r="V177" s="164">
        <v>3000000</v>
      </c>
      <c r="W177" s="842">
        <v>97</v>
      </c>
      <c r="X177" s="885"/>
      <c r="Y177" s="884" t="s">
        <v>1571</v>
      </c>
    </row>
    <row r="178" spans="2:25" ht="51" x14ac:dyDescent="0.25">
      <c r="B178" s="2012"/>
      <c r="C178" s="674"/>
      <c r="D178" s="674"/>
      <c r="E178" s="674"/>
      <c r="F178" s="674"/>
      <c r="G178" s="173" t="s">
        <v>2033</v>
      </c>
      <c r="H178" s="173" t="s">
        <v>2034</v>
      </c>
      <c r="I178" s="165" t="s">
        <v>19</v>
      </c>
      <c r="J178" s="706">
        <v>80</v>
      </c>
      <c r="K178" s="706">
        <v>82</v>
      </c>
      <c r="L178" s="168">
        <v>4809600</v>
      </c>
      <c r="M178" s="706">
        <v>84</v>
      </c>
      <c r="N178" s="164">
        <v>4951800</v>
      </c>
      <c r="O178" s="706">
        <v>86</v>
      </c>
      <c r="P178" s="164">
        <v>5069700</v>
      </c>
      <c r="Q178" s="706">
        <v>88</v>
      </c>
      <c r="R178" s="164">
        <v>5187600</v>
      </c>
      <c r="S178" s="706">
        <v>90</v>
      </c>
      <c r="T178" s="164">
        <v>5305500</v>
      </c>
      <c r="U178" s="706">
        <v>90</v>
      </c>
      <c r="V178" s="164">
        <v>5305500</v>
      </c>
      <c r="W178" s="842">
        <v>430</v>
      </c>
      <c r="X178" s="885"/>
      <c r="Y178" s="884" t="s">
        <v>1571</v>
      </c>
    </row>
    <row r="179" spans="2:25" ht="72" x14ac:dyDescent="0.25">
      <c r="B179" s="2012"/>
      <c r="C179" s="674"/>
      <c r="D179" s="674"/>
      <c r="E179" s="674"/>
      <c r="F179" s="170"/>
      <c r="G179" s="685" t="s">
        <v>3190</v>
      </c>
      <c r="H179" s="685" t="s">
        <v>1576</v>
      </c>
      <c r="I179" s="686" t="s">
        <v>19</v>
      </c>
      <c r="J179" s="707" t="s">
        <v>1577</v>
      </c>
      <c r="K179" s="707" t="s">
        <v>1578</v>
      </c>
      <c r="L179" s="708">
        <f>SUM(L180)</f>
        <v>300000</v>
      </c>
      <c r="M179" s="707" t="s">
        <v>1579</v>
      </c>
      <c r="N179" s="708">
        <f>SUM(N180)</f>
        <v>300000</v>
      </c>
      <c r="O179" s="707" t="s">
        <v>1580</v>
      </c>
      <c r="P179" s="708">
        <f>SUM(P180)</f>
        <v>300000</v>
      </c>
      <c r="Q179" s="707" t="s">
        <v>1581</v>
      </c>
      <c r="R179" s="708">
        <f>SUM(R180)</f>
        <v>300000</v>
      </c>
      <c r="S179" s="707" t="s">
        <v>1582</v>
      </c>
      <c r="T179" s="708">
        <f>SUM(T180)</f>
        <v>300000</v>
      </c>
      <c r="U179" s="707" t="s">
        <v>1583</v>
      </c>
      <c r="V179" s="708">
        <f>SUM(V180)</f>
        <v>300000</v>
      </c>
      <c r="W179" s="835" t="s">
        <v>1582</v>
      </c>
      <c r="X179" s="221"/>
      <c r="Y179" s="884" t="s">
        <v>1571</v>
      </c>
    </row>
    <row r="180" spans="2:25" ht="38.25" x14ac:dyDescent="0.25">
      <c r="B180" s="2012"/>
      <c r="C180" s="674"/>
      <c r="D180" s="674"/>
      <c r="E180" s="674"/>
      <c r="F180" s="674"/>
      <c r="G180" s="173" t="s">
        <v>2054</v>
      </c>
      <c r="H180" s="173" t="s">
        <v>2055</v>
      </c>
      <c r="I180" s="165" t="s">
        <v>8</v>
      </c>
      <c r="J180" s="706">
        <v>9</v>
      </c>
      <c r="K180" s="706">
        <v>8</v>
      </c>
      <c r="L180" s="168">
        <v>300000</v>
      </c>
      <c r="M180" s="706">
        <v>8</v>
      </c>
      <c r="N180" s="164">
        <v>300000</v>
      </c>
      <c r="O180" s="706">
        <v>8</v>
      </c>
      <c r="P180" s="164">
        <v>300000</v>
      </c>
      <c r="Q180" s="706">
        <v>8</v>
      </c>
      <c r="R180" s="164">
        <v>300000</v>
      </c>
      <c r="S180" s="706">
        <v>8</v>
      </c>
      <c r="T180" s="164">
        <v>300000</v>
      </c>
      <c r="U180" s="706">
        <v>8</v>
      </c>
      <c r="V180" s="164">
        <v>300000</v>
      </c>
      <c r="W180" s="842">
        <v>40</v>
      </c>
      <c r="X180" s="885"/>
      <c r="Y180" s="884" t="s">
        <v>1571</v>
      </c>
    </row>
    <row r="181" spans="2:25" x14ac:dyDescent="0.25">
      <c r="B181" s="2012"/>
      <c r="C181" s="674"/>
      <c r="D181" s="674"/>
      <c r="E181" s="674"/>
      <c r="F181" s="674"/>
      <c r="G181" s="173"/>
      <c r="H181" s="173"/>
      <c r="I181" s="1755"/>
      <c r="J181" s="706"/>
      <c r="K181" s="706"/>
      <c r="L181" s="168"/>
      <c r="M181" s="706"/>
      <c r="N181" s="1754"/>
      <c r="O181" s="706"/>
      <c r="P181" s="1754"/>
      <c r="Q181" s="706"/>
      <c r="R181" s="1754"/>
      <c r="S181" s="706"/>
      <c r="T181" s="1754"/>
      <c r="U181" s="706"/>
      <c r="V181" s="1754"/>
      <c r="W181" s="842"/>
      <c r="X181" s="885"/>
      <c r="Y181" s="884"/>
    </row>
    <row r="182" spans="2:25" ht="96" x14ac:dyDescent="0.25">
      <c r="B182" s="2012"/>
      <c r="C182" s="172" t="s">
        <v>3975</v>
      </c>
      <c r="D182" s="172" t="s">
        <v>4002</v>
      </c>
      <c r="E182" s="685" t="s">
        <v>4003</v>
      </c>
      <c r="F182" s="685" t="s">
        <v>1592</v>
      </c>
      <c r="G182" s="173" t="s">
        <v>4005</v>
      </c>
      <c r="H182" s="173"/>
      <c r="I182" s="976" t="s">
        <v>19</v>
      </c>
      <c r="J182" s="707" t="s">
        <v>1593</v>
      </c>
      <c r="K182" s="836" t="s">
        <v>1593</v>
      </c>
      <c r="L182" s="708"/>
      <c r="M182" s="836" t="s">
        <v>1594</v>
      </c>
      <c r="N182" s="708"/>
      <c r="O182" s="836">
        <v>30</v>
      </c>
      <c r="P182" s="708"/>
      <c r="Q182" s="836" t="s">
        <v>1595</v>
      </c>
      <c r="R182" s="708"/>
      <c r="S182" s="836" t="s">
        <v>1596</v>
      </c>
      <c r="T182" s="708"/>
      <c r="U182" s="836" t="s">
        <v>1597</v>
      </c>
      <c r="V182" s="708"/>
      <c r="W182" s="835" t="s">
        <v>1596</v>
      </c>
      <c r="X182" s="221"/>
      <c r="Y182" s="884" t="s">
        <v>1571</v>
      </c>
    </row>
    <row r="183" spans="2:25" ht="60" x14ac:dyDescent="0.25">
      <c r="B183" s="2012"/>
      <c r="C183" s="674"/>
      <c r="D183" s="674"/>
      <c r="E183" s="674"/>
      <c r="F183" s="170"/>
      <c r="G183" s="685" t="s">
        <v>1591</v>
      </c>
      <c r="H183" s="685" t="s">
        <v>4004</v>
      </c>
      <c r="I183" s="976" t="s">
        <v>19</v>
      </c>
      <c r="J183" s="707" t="s">
        <v>1593</v>
      </c>
      <c r="K183" s="836" t="s">
        <v>1593</v>
      </c>
      <c r="L183" s="708">
        <f>SUM(L184:L186)</f>
        <v>0</v>
      </c>
      <c r="M183" s="836" t="s">
        <v>1594</v>
      </c>
      <c r="N183" s="708">
        <f>SUM(N184:N186)</f>
        <v>2200000</v>
      </c>
      <c r="O183" s="836">
        <v>30</v>
      </c>
      <c r="P183" s="708">
        <f>SUM(P184:P186)</f>
        <v>1760000</v>
      </c>
      <c r="Q183" s="836" t="s">
        <v>1595</v>
      </c>
      <c r="R183" s="708">
        <f>SUM(R184:R186)</f>
        <v>1760000</v>
      </c>
      <c r="S183" s="836" t="s">
        <v>1596</v>
      </c>
      <c r="T183" s="708">
        <f>SUM(T184:T186)</f>
        <v>1760000</v>
      </c>
      <c r="U183" s="836" t="s">
        <v>1597</v>
      </c>
      <c r="V183" s="708">
        <f>SUM(V184:V186)</f>
        <v>1930000</v>
      </c>
      <c r="W183" s="835" t="s">
        <v>1596</v>
      </c>
      <c r="X183" s="221"/>
      <c r="Y183" s="884" t="s">
        <v>1571</v>
      </c>
    </row>
    <row r="184" spans="2:25" ht="38.25" x14ac:dyDescent="0.25">
      <c r="B184" s="2012"/>
      <c r="C184" s="674"/>
      <c r="D184" s="674"/>
      <c r="E184" s="674"/>
      <c r="F184" s="170"/>
      <c r="G184" s="173" t="s">
        <v>2060</v>
      </c>
      <c r="H184" s="173" t="s">
        <v>2061</v>
      </c>
      <c r="I184" s="165" t="s">
        <v>8</v>
      </c>
      <c r="J184" s="706">
        <v>15</v>
      </c>
      <c r="K184" s="706">
        <v>0</v>
      </c>
      <c r="L184" s="168">
        <v>0</v>
      </c>
      <c r="M184" s="706">
        <v>10</v>
      </c>
      <c r="N184" s="164">
        <v>500000</v>
      </c>
      <c r="O184" s="706">
        <v>8</v>
      </c>
      <c r="P184" s="164">
        <v>400000</v>
      </c>
      <c r="Q184" s="706">
        <v>8</v>
      </c>
      <c r="R184" s="164">
        <v>400000</v>
      </c>
      <c r="S184" s="706">
        <v>8</v>
      </c>
      <c r="T184" s="164">
        <v>400000</v>
      </c>
      <c r="U184" s="706">
        <v>9</v>
      </c>
      <c r="V184" s="164">
        <v>400000</v>
      </c>
      <c r="W184" s="842">
        <v>34</v>
      </c>
      <c r="X184" s="885"/>
      <c r="Y184" s="884" t="s">
        <v>1571</v>
      </c>
    </row>
    <row r="185" spans="2:25" ht="51" x14ac:dyDescent="0.25">
      <c r="B185" s="2012"/>
      <c r="C185" s="674"/>
      <c r="D185" s="674"/>
      <c r="E185" s="674"/>
      <c r="F185" s="170"/>
      <c r="G185" s="173" t="s">
        <v>2062</v>
      </c>
      <c r="H185" s="173" t="s">
        <v>2063</v>
      </c>
      <c r="I185" s="165" t="s">
        <v>251</v>
      </c>
      <c r="J185" s="706">
        <v>15</v>
      </c>
      <c r="K185" s="706">
        <v>0</v>
      </c>
      <c r="L185" s="168">
        <v>0</v>
      </c>
      <c r="M185" s="706">
        <v>10</v>
      </c>
      <c r="N185" s="164">
        <v>1500000</v>
      </c>
      <c r="O185" s="706">
        <v>8</v>
      </c>
      <c r="P185" s="164">
        <v>1200000</v>
      </c>
      <c r="Q185" s="706">
        <v>8</v>
      </c>
      <c r="R185" s="164">
        <v>1200000</v>
      </c>
      <c r="S185" s="706">
        <v>8</v>
      </c>
      <c r="T185" s="164">
        <v>1200000</v>
      </c>
      <c r="U185" s="706">
        <v>9</v>
      </c>
      <c r="V185" s="164">
        <v>1350000</v>
      </c>
      <c r="W185" s="842">
        <v>34</v>
      </c>
      <c r="X185" s="885"/>
      <c r="Y185" s="884" t="s">
        <v>1571</v>
      </c>
    </row>
    <row r="186" spans="2:25" ht="38.25" x14ac:dyDescent="0.25">
      <c r="B186" s="2012"/>
      <c r="C186" s="674"/>
      <c r="D186" s="674"/>
      <c r="E186" s="674"/>
      <c r="F186" s="170"/>
      <c r="G186" s="173" t="s">
        <v>2064</v>
      </c>
      <c r="H186" s="173" t="s">
        <v>2065</v>
      </c>
      <c r="I186" s="165" t="s">
        <v>8</v>
      </c>
      <c r="J186" s="706">
        <v>15</v>
      </c>
      <c r="K186" s="706">
        <v>0</v>
      </c>
      <c r="L186" s="168">
        <v>0</v>
      </c>
      <c r="M186" s="706">
        <v>10</v>
      </c>
      <c r="N186" s="164">
        <v>200000</v>
      </c>
      <c r="O186" s="706">
        <v>8</v>
      </c>
      <c r="P186" s="164">
        <v>160000</v>
      </c>
      <c r="Q186" s="706">
        <v>8</v>
      </c>
      <c r="R186" s="164">
        <v>160000</v>
      </c>
      <c r="S186" s="706">
        <v>8</v>
      </c>
      <c r="T186" s="164">
        <v>160000</v>
      </c>
      <c r="U186" s="706">
        <v>9</v>
      </c>
      <c r="V186" s="164">
        <v>180000</v>
      </c>
      <c r="W186" s="842">
        <v>34</v>
      </c>
      <c r="X186" s="885"/>
      <c r="Y186" s="884" t="s">
        <v>1571</v>
      </c>
    </row>
    <row r="187" spans="2:25" x14ac:dyDescent="0.25">
      <c r="B187" s="2012"/>
      <c r="C187" s="674"/>
      <c r="D187" s="674"/>
      <c r="E187" s="674"/>
      <c r="F187" s="170"/>
      <c r="G187" s="173"/>
      <c r="H187" s="173"/>
      <c r="I187" s="1755"/>
      <c r="J187" s="706"/>
      <c r="K187" s="706"/>
      <c r="L187" s="168"/>
      <c r="M187" s="706"/>
      <c r="N187" s="1754"/>
      <c r="O187" s="706"/>
      <c r="P187" s="1754"/>
      <c r="Q187" s="706"/>
      <c r="R187" s="1754"/>
      <c r="S187" s="706"/>
      <c r="T187" s="1754"/>
      <c r="U187" s="706"/>
      <c r="V187" s="1754"/>
      <c r="W187" s="842"/>
      <c r="X187" s="885"/>
      <c r="Y187" s="884"/>
    </row>
    <row r="188" spans="2:25" ht="72" x14ac:dyDescent="0.25">
      <c r="B188" s="2012"/>
      <c r="C188" s="674"/>
      <c r="D188" s="674"/>
      <c r="E188" s="685" t="s">
        <v>4006</v>
      </c>
      <c r="F188" s="685" t="s">
        <v>1599</v>
      </c>
      <c r="G188" s="976" t="s">
        <v>4007</v>
      </c>
      <c r="H188" s="173"/>
      <c r="I188" s="976" t="s">
        <v>19</v>
      </c>
      <c r="J188" s="836">
        <v>7</v>
      </c>
      <c r="K188" s="836">
        <v>7</v>
      </c>
      <c r="L188" s="1073"/>
      <c r="M188" s="836">
        <v>3</v>
      </c>
      <c r="N188" s="1073"/>
      <c r="O188" s="836">
        <v>5</v>
      </c>
      <c r="P188" s="1073"/>
      <c r="Q188" s="836">
        <v>6.7</v>
      </c>
      <c r="R188" s="1073"/>
      <c r="S188" s="836">
        <v>8.3000000000000007</v>
      </c>
      <c r="T188" s="1073"/>
      <c r="U188" s="836">
        <v>10</v>
      </c>
      <c r="V188" s="1073"/>
      <c r="W188" s="835">
        <f>U188</f>
        <v>10</v>
      </c>
      <c r="X188" s="885"/>
      <c r="Y188" s="884"/>
    </row>
    <row r="189" spans="2:25" ht="72" x14ac:dyDescent="0.25">
      <c r="B189" s="2012"/>
      <c r="C189" s="674"/>
      <c r="D189" s="674"/>
      <c r="F189" s="170"/>
      <c r="G189" s="685" t="s">
        <v>1598</v>
      </c>
      <c r="H189" s="685" t="s">
        <v>1599</v>
      </c>
      <c r="I189" s="686" t="s">
        <v>19</v>
      </c>
      <c r="J189" s="836">
        <v>7</v>
      </c>
      <c r="K189" s="836">
        <v>7</v>
      </c>
      <c r="L189" s="668">
        <f>SUM(L190)</f>
        <v>300000</v>
      </c>
      <c r="M189" s="836">
        <v>3</v>
      </c>
      <c r="N189" s="668">
        <f>SUM(N190)</f>
        <v>10500000</v>
      </c>
      <c r="O189" s="836">
        <v>5</v>
      </c>
      <c r="P189" s="668">
        <f>SUM(P190)</f>
        <v>9000000</v>
      </c>
      <c r="Q189" s="836">
        <v>6.7</v>
      </c>
      <c r="R189" s="668">
        <f>SUM(R190)</f>
        <v>7500000</v>
      </c>
      <c r="S189" s="836">
        <v>8.3000000000000007</v>
      </c>
      <c r="T189" s="668">
        <f>SUM(T190)</f>
        <v>7500000</v>
      </c>
      <c r="U189" s="836">
        <v>10</v>
      </c>
      <c r="V189" s="668">
        <f>SUM(V190)</f>
        <v>7500000</v>
      </c>
      <c r="W189" s="835">
        <f>U189</f>
        <v>10</v>
      </c>
      <c r="X189" s="221"/>
      <c r="Y189" s="884" t="s">
        <v>1571</v>
      </c>
    </row>
    <row r="190" spans="2:25" ht="25.5" x14ac:dyDescent="0.25">
      <c r="B190" s="2012"/>
      <c r="C190" s="675"/>
      <c r="D190" s="675"/>
      <c r="E190" s="675"/>
      <c r="F190" s="675"/>
      <c r="G190" s="173" t="s">
        <v>2066</v>
      </c>
      <c r="H190" s="173" t="s">
        <v>2067</v>
      </c>
      <c r="I190" s="165" t="s">
        <v>8</v>
      </c>
      <c r="J190" s="706">
        <v>2</v>
      </c>
      <c r="K190" s="706">
        <v>0</v>
      </c>
      <c r="L190" s="168">
        <v>300000</v>
      </c>
      <c r="M190" s="706">
        <v>7</v>
      </c>
      <c r="N190" s="164">
        <v>10500000</v>
      </c>
      <c r="O190" s="706">
        <v>6</v>
      </c>
      <c r="P190" s="164">
        <v>9000000</v>
      </c>
      <c r="Q190" s="706">
        <v>5</v>
      </c>
      <c r="R190" s="164">
        <v>7500000</v>
      </c>
      <c r="S190" s="706">
        <v>5</v>
      </c>
      <c r="T190" s="164">
        <v>7500000</v>
      </c>
      <c r="U190" s="706">
        <v>5</v>
      </c>
      <c r="V190" s="164">
        <v>7500000</v>
      </c>
      <c r="W190" s="887">
        <v>23</v>
      </c>
      <c r="X190" s="885"/>
      <c r="Y190" s="884" t="s">
        <v>1571</v>
      </c>
    </row>
    <row r="191" spans="2:25" x14ac:dyDescent="0.25">
      <c r="B191" s="2012"/>
      <c r="C191" s="676"/>
      <c r="D191" s="676"/>
      <c r="E191" s="676"/>
      <c r="F191" s="675"/>
      <c r="G191" s="173"/>
      <c r="H191" s="173"/>
      <c r="I191" s="165"/>
      <c r="J191" s="706"/>
      <c r="K191" s="706"/>
      <c r="L191" s="168"/>
      <c r="M191" s="706"/>
      <c r="N191" s="164"/>
      <c r="O191" s="706"/>
      <c r="P191" s="164"/>
      <c r="Q191" s="706"/>
      <c r="R191" s="164"/>
      <c r="S191" s="706"/>
      <c r="T191" s="164"/>
      <c r="U191" s="706"/>
      <c r="V191" s="164"/>
      <c r="W191" s="887"/>
      <c r="X191" s="949"/>
      <c r="Y191" s="884" t="s">
        <v>1571</v>
      </c>
    </row>
    <row r="192" spans="2:25" ht="168" x14ac:dyDescent="0.25">
      <c r="B192" s="2012"/>
      <c r="C192" s="172" t="s">
        <v>755</v>
      </c>
      <c r="D192" s="172" t="s">
        <v>4008</v>
      </c>
      <c r="E192" s="172" t="s">
        <v>4009</v>
      </c>
      <c r="F192" s="978" t="s">
        <v>3189</v>
      </c>
      <c r="G192" s="685" t="s">
        <v>4005</v>
      </c>
      <c r="H192" s="685"/>
      <c r="I192" s="976" t="s">
        <v>19</v>
      </c>
      <c r="J192" s="707">
        <v>70</v>
      </c>
      <c r="K192" s="707">
        <v>72</v>
      </c>
      <c r="L192" s="708"/>
      <c r="M192" s="707">
        <v>76</v>
      </c>
      <c r="N192" s="708"/>
      <c r="O192" s="707">
        <v>80</v>
      </c>
      <c r="P192" s="708"/>
      <c r="Q192" s="707">
        <v>83</v>
      </c>
      <c r="R192" s="708"/>
      <c r="S192" s="707">
        <v>85</v>
      </c>
      <c r="T192" s="708"/>
      <c r="U192" s="707">
        <v>87</v>
      </c>
      <c r="V192" s="708"/>
      <c r="W192" s="835">
        <v>87</v>
      </c>
      <c r="X192" s="221"/>
      <c r="Y192" s="884" t="s">
        <v>1571</v>
      </c>
    </row>
    <row r="193" spans="2:25" ht="168" x14ac:dyDescent="0.25">
      <c r="B193" s="2012"/>
      <c r="C193" s="674"/>
      <c r="D193" s="674"/>
      <c r="E193" s="674"/>
      <c r="F193" s="172"/>
      <c r="G193" s="685" t="s">
        <v>1525</v>
      </c>
      <c r="H193" s="178" t="s">
        <v>3189</v>
      </c>
      <c r="I193" s="686" t="s">
        <v>19</v>
      </c>
      <c r="J193" s="707">
        <v>70</v>
      </c>
      <c r="K193" s="707">
        <v>72</v>
      </c>
      <c r="L193" s="708">
        <f>SUM(L194:L198)</f>
        <v>16620000</v>
      </c>
      <c r="M193" s="707">
        <v>76</v>
      </c>
      <c r="N193" s="708">
        <f>SUM(N194:N198)</f>
        <v>33475000</v>
      </c>
      <c r="O193" s="707">
        <v>80</v>
      </c>
      <c r="P193" s="708">
        <f>SUM(P194:P198)</f>
        <v>32585000</v>
      </c>
      <c r="Q193" s="707">
        <v>83</v>
      </c>
      <c r="R193" s="708">
        <f>SUM(R194:R198)</f>
        <v>32625000</v>
      </c>
      <c r="S193" s="707">
        <v>85</v>
      </c>
      <c r="T193" s="708">
        <f>SUM(T194:T198)</f>
        <v>37895000</v>
      </c>
      <c r="U193" s="707">
        <v>87</v>
      </c>
      <c r="V193" s="708">
        <f>SUM(V194:V198)</f>
        <v>31756000</v>
      </c>
      <c r="W193" s="835">
        <v>87</v>
      </c>
      <c r="X193" s="221"/>
      <c r="Y193" s="884" t="s">
        <v>1571</v>
      </c>
    </row>
    <row r="194" spans="2:25" ht="51" x14ac:dyDescent="0.25">
      <c r="B194" s="2012"/>
      <c r="C194" s="674"/>
      <c r="D194" s="674"/>
      <c r="E194" s="674"/>
      <c r="F194" s="674"/>
      <c r="G194" s="173" t="s">
        <v>2040</v>
      </c>
      <c r="H194" s="173" t="s">
        <v>2041</v>
      </c>
      <c r="I194" s="165" t="s">
        <v>8</v>
      </c>
      <c r="J194" s="706">
        <v>64</v>
      </c>
      <c r="K194" s="706">
        <v>15</v>
      </c>
      <c r="L194" s="168">
        <v>14000000</v>
      </c>
      <c r="M194" s="706">
        <v>34</v>
      </c>
      <c r="N194" s="164">
        <v>25500000</v>
      </c>
      <c r="O194" s="706">
        <v>33</v>
      </c>
      <c r="P194" s="164">
        <v>24750000</v>
      </c>
      <c r="Q194" s="706">
        <v>33</v>
      </c>
      <c r="R194" s="164">
        <v>24750000</v>
      </c>
      <c r="S194" s="706">
        <v>40</v>
      </c>
      <c r="T194" s="164">
        <v>30000000</v>
      </c>
      <c r="U194" s="706">
        <v>39</v>
      </c>
      <c r="V194" s="164">
        <v>29250000</v>
      </c>
      <c r="W194" s="842">
        <v>155</v>
      </c>
      <c r="X194" s="885"/>
      <c r="Y194" s="884" t="s">
        <v>1571</v>
      </c>
    </row>
    <row r="195" spans="2:25" ht="38.25" x14ac:dyDescent="0.25">
      <c r="B195" s="2012"/>
      <c r="C195" s="674"/>
      <c r="D195" s="674"/>
      <c r="E195" s="674"/>
      <c r="F195" s="674"/>
      <c r="G195" s="173" t="s">
        <v>2042</v>
      </c>
      <c r="H195" s="173" t="s">
        <v>2043</v>
      </c>
      <c r="I195" s="165" t="s">
        <v>8</v>
      </c>
      <c r="J195" s="706">
        <v>5</v>
      </c>
      <c r="K195" s="706">
        <v>8</v>
      </c>
      <c r="L195" s="168">
        <v>620000</v>
      </c>
      <c r="M195" s="706">
        <v>6</v>
      </c>
      <c r="N195" s="164">
        <v>375000</v>
      </c>
      <c r="O195" s="706">
        <v>1</v>
      </c>
      <c r="P195" s="164">
        <v>60000</v>
      </c>
      <c r="Q195" s="706">
        <v>2</v>
      </c>
      <c r="R195" s="164">
        <v>100000</v>
      </c>
      <c r="S195" s="706">
        <v>2</v>
      </c>
      <c r="T195" s="164">
        <v>120000</v>
      </c>
      <c r="U195" s="706">
        <v>5</v>
      </c>
      <c r="V195" s="164">
        <v>300000</v>
      </c>
      <c r="W195" s="842">
        <v>19</v>
      </c>
      <c r="X195" s="885"/>
      <c r="Y195" s="884" t="s">
        <v>1571</v>
      </c>
    </row>
    <row r="196" spans="2:25" ht="51" x14ac:dyDescent="0.25">
      <c r="B196" s="2012"/>
      <c r="C196" s="674"/>
      <c r="D196" s="674"/>
      <c r="E196" s="674"/>
      <c r="F196" s="674"/>
      <c r="G196" s="670" t="s">
        <v>2044</v>
      </c>
      <c r="H196" s="173" t="s">
        <v>2045</v>
      </c>
      <c r="I196" s="165" t="s">
        <v>251</v>
      </c>
      <c r="J196" s="706">
        <v>30</v>
      </c>
      <c r="K196" s="706">
        <v>2</v>
      </c>
      <c r="L196" s="168">
        <v>500000</v>
      </c>
      <c r="M196" s="706">
        <v>6</v>
      </c>
      <c r="N196" s="164">
        <v>1500000</v>
      </c>
      <c r="O196" s="706">
        <v>6</v>
      </c>
      <c r="P196" s="164">
        <v>1500000</v>
      </c>
      <c r="Q196" s="706">
        <v>6</v>
      </c>
      <c r="R196" s="164">
        <v>1500000</v>
      </c>
      <c r="S196" s="706">
        <v>6</v>
      </c>
      <c r="T196" s="164">
        <v>1500000</v>
      </c>
      <c r="U196" s="706">
        <v>6</v>
      </c>
      <c r="V196" s="164">
        <v>1500000</v>
      </c>
      <c r="W196" s="842">
        <v>26</v>
      </c>
      <c r="X196" s="885"/>
      <c r="Y196" s="884" t="s">
        <v>1571</v>
      </c>
    </row>
    <row r="197" spans="2:25" ht="51" x14ac:dyDescent="0.25">
      <c r="B197" s="2012"/>
      <c r="C197" s="674"/>
      <c r="D197" s="674"/>
      <c r="E197" s="674"/>
      <c r="F197" s="674"/>
      <c r="G197" s="173" t="s">
        <v>2046</v>
      </c>
      <c r="H197" s="173" t="s">
        <v>2047</v>
      </c>
      <c r="I197" s="165" t="s">
        <v>251</v>
      </c>
      <c r="J197" s="706">
        <v>64</v>
      </c>
      <c r="K197" s="706">
        <v>2</v>
      </c>
      <c r="L197" s="168">
        <v>300000</v>
      </c>
      <c r="M197" s="706">
        <v>4</v>
      </c>
      <c r="N197" s="164">
        <v>700000</v>
      </c>
      <c r="O197" s="706">
        <v>5</v>
      </c>
      <c r="P197" s="164">
        <v>875000</v>
      </c>
      <c r="Q197" s="706">
        <v>5</v>
      </c>
      <c r="R197" s="164">
        <v>875000</v>
      </c>
      <c r="S197" s="706">
        <v>5</v>
      </c>
      <c r="T197" s="164">
        <v>875000</v>
      </c>
      <c r="U197" s="706">
        <v>4</v>
      </c>
      <c r="V197" s="164">
        <v>700000</v>
      </c>
      <c r="W197" s="842">
        <v>21</v>
      </c>
      <c r="X197" s="885"/>
      <c r="Y197" s="884" t="s">
        <v>1571</v>
      </c>
    </row>
    <row r="198" spans="2:25" ht="38.25" x14ac:dyDescent="0.25">
      <c r="B198" s="2012"/>
      <c r="C198" s="674"/>
      <c r="D198" s="674"/>
      <c r="E198" s="674"/>
      <c r="F198" s="674"/>
      <c r="G198" s="173" t="s">
        <v>2048</v>
      </c>
      <c r="H198" s="173" t="s">
        <v>2049</v>
      </c>
      <c r="I198" s="165" t="s">
        <v>251</v>
      </c>
      <c r="J198" s="706">
        <v>20</v>
      </c>
      <c r="K198" s="706">
        <v>6</v>
      </c>
      <c r="L198" s="168">
        <v>1200000</v>
      </c>
      <c r="M198" s="706">
        <v>6</v>
      </c>
      <c r="N198" s="164">
        <v>5400000</v>
      </c>
      <c r="O198" s="706">
        <v>6</v>
      </c>
      <c r="P198" s="164">
        <v>5400000</v>
      </c>
      <c r="Q198" s="706">
        <v>6</v>
      </c>
      <c r="R198" s="164">
        <v>5400000</v>
      </c>
      <c r="S198" s="706">
        <v>6</v>
      </c>
      <c r="T198" s="164">
        <v>5400000</v>
      </c>
      <c r="U198" s="706">
        <v>4</v>
      </c>
      <c r="V198" s="164">
        <v>6000</v>
      </c>
      <c r="W198" s="842">
        <v>30</v>
      </c>
      <c r="X198" s="885"/>
      <c r="Y198" s="884" t="s">
        <v>1571</v>
      </c>
    </row>
    <row r="199" spans="2:25" ht="84" x14ac:dyDescent="0.25">
      <c r="B199" s="2012"/>
      <c r="C199" s="674"/>
      <c r="D199" s="674"/>
      <c r="E199" s="674"/>
      <c r="F199" s="170"/>
      <c r="G199" s="685" t="s">
        <v>1575</v>
      </c>
      <c r="H199" s="685" t="s">
        <v>1574</v>
      </c>
      <c r="I199" s="686" t="s">
        <v>1413</v>
      </c>
      <c r="J199" s="707">
        <v>23</v>
      </c>
      <c r="K199" s="707">
        <v>32</v>
      </c>
      <c r="L199" s="708">
        <f>SUM(L200:L201)</f>
        <v>75000</v>
      </c>
      <c r="M199" s="707">
        <v>42</v>
      </c>
      <c r="N199" s="708">
        <f>SUM(N200:N201)</f>
        <v>90000</v>
      </c>
      <c r="O199" s="707">
        <v>52</v>
      </c>
      <c r="P199" s="708">
        <f>SUM(P200:P201)</f>
        <v>105000</v>
      </c>
      <c r="Q199" s="707">
        <v>61</v>
      </c>
      <c r="R199" s="708">
        <f>SUM(R200:R201)</f>
        <v>120000</v>
      </c>
      <c r="S199" s="707">
        <v>71</v>
      </c>
      <c r="T199" s="708">
        <f>SUM(T200:T201)</f>
        <v>135000</v>
      </c>
      <c r="U199" s="707">
        <v>84</v>
      </c>
      <c r="V199" s="708">
        <f>SUM(V200:V201)</f>
        <v>150000</v>
      </c>
      <c r="W199" s="835">
        <v>258</v>
      </c>
      <c r="X199" s="221"/>
      <c r="Y199" s="884" t="s">
        <v>1571</v>
      </c>
    </row>
    <row r="200" spans="2:25" ht="63.75" x14ac:dyDescent="0.25">
      <c r="B200" s="2012"/>
      <c r="C200" s="674"/>
      <c r="D200" s="674"/>
      <c r="E200" s="674"/>
      <c r="F200" s="674"/>
      <c r="G200" s="173" t="s">
        <v>2050</v>
      </c>
      <c r="H200" s="670" t="s">
        <v>2051</v>
      </c>
      <c r="I200" s="165" t="s">
        <v>8</v>
      </c>
      <c r="J200" s="706">
        <v>23</v>
      </c>
      <c r="K200" s="706">
        <v>32</v>
      </c>
      <c r="L200" s="168">
        <v>25000</v>
      </c>
      <c r="M200" s="706">
        <v>42</v>
      </c>
      <c r="N200" s="164">
        <v>30000</v>
      </c>
      <c r="O200" s="706">
        <v>52</v>
      </c>
      <c r="P200" s="164">
        <v>35000</v>
      </c>
      <c r="Q200" s="706">
        <v>61</v>
      </c>
      <c r="R200" s="164">
        <v>40000</v>
      </c>
      <c r="S200" s="706">
        <v>71</v>
      </c>
      <c r="T200" s="164">
        <v>45000</v>
      </c>
      <c r="U200" s="706">
        <v>84</v>
      </c>
      <c r="V200" s="164">
        <v>50000</v>
      </c>
      <c r="W200" s="842">
        <v>258</v>
      </c>
      <c r="X200" s="885"/>
      <c r="Y200" s="884" t="s">
        <v>1571</v>
      </c>
    </row>
    <row r="201" spans="2:25" ht="89.25" x14ac:dyDescent="0.25">
      <c r="B201" s="2012"/>
      <c r="C201" s="674"/>
      <c r="D201" s="674"/>
      <c r="E201" s="674"/>
      <c r="F201" s="674"/>
      <c r="G201" s="173" t="s">
        <v>2052</v>
      </c>
      <c r="H201" s="173" t="s">
        <v>2053</v>
      </c>
      <c r="I201" s="165" t="s">
        <v>1413</v>
      </c>
      <c r="J201" s="706">
        <v>32</v>
      </c>
      <c r="K201" s="706">
        <v>5</v>
      </c>
      <c r="L201" s="168">
        <v>50000</v>
      </c>
      <c r="M201" s="706">
        <v>6</v>
      </c>
      <c r="N201" s="164">
        <v>60000</v>
      </c>
      <c r="O201" s="706">
        <v>7</v>
      </c>
      <c r="P201" s="164">
        <v>70000</v>
      </c>
      <c r="Q201" s="706">
        <v>8</v>
      </c>
      <c r="R201" s="164">
        <v>80000</v>
      </c>
      <c r="S201" s="706">
        <v>9</v>
      </c>
      <c r="T201" s="164">
        <v>90000</v>
      </c>
      <c r="U201" s="706">
        <v>10</v>
      </c>
      <c r="V201" s="164">
        <v>100000</v>
      </c>
      <c r="W201" s="842">
        <v>35</v>
      </c>
      <c r="X201" s="885"/>
      <c r="Y201" s="884" t="s">
        <v>1571</v>
      </c>
    </row>
    <row r="202" spans="2:25" ht="96" x14ac:dyDescent="0.25">
      <c r="B202" s="2012"/>
      <c r="C202" s="674"/>
      <c r="D202" s="674"/>
      <c r="E202" s="674"/>
      <c r="F202" s="170"/>
      <c r="G202" s="685" t="s">
        <v>1584</v>
      </c>
      <c r="H202" s="178" t="s">
        <v>1585</v>
      </c>
      <c r="I202" s="686" t="s">
        <v>19</v>
      </c>
      <c r="J202" s="707">
        <v>25</v>
      </c>
      <c r="K202" s="707" t="s">
        <v>1586</v>
      </c>
      <c r="L202" s="708">
        <f>SUM(L203:L204)</f>
        <v>50000</v>
      </c>
      <c r="M202" s="707" t="s">
        <v>1587</v>
      </c>
      <c r="N202" s="708">
        <f>SUM(N203:N204)</f>
        <v>1650000</v>
      </c>
      <c r="O202" s="707" t="s">
        <v>1588</v>
      </c>
      <c r="P202" s="708">
        <f>SUM(P203:P204)</f>
        <v>1650000</v>
      </c>
      <c r="Q202" s="707">
        <v>50</v>
      </c>
      <c r="R202" s="708">
        <f>SUM(R203:R204)</f>
        <v>1650000</v>
      </c>
      <c r="S202" s="707" t="s">
        <v>1589</v>
      </c>
      <c r="T202" s="708">
        <f>SUM(T203:T204)</f>
        <v>1650000</v>
      </c>
      <c r="U202" s="707" t="s">
        <v>1590</v>
      </c>
      <c r="V202" s="708">
        <f>SUM(V203:V204)</f>
        <v>1650000</v>
      </c>
      <c r="W202" s="835" t="s">
        <v>1589</v>
      </c>
      <c r="X202" s="221"/>
      <c r="Y202" s="884" t="s">
        <v>1571</v>
      </c>
    </row>
    <row r="203" spans="2:25" ht="51" x14ac:dyDescent="0.25">
      <c r="B203" s="2012"/>
      <c r="C203" s="674"/>
      <c r="D203" s="674"/>
      <c r="E203" s="674"/>
      <c r="F203" s="674"/>
      <c r="G203" s="173" t="s">
        <v>2056</v>
      </c>
      <c r="H203" s="173" t="s">
        <v>2056</v>
      </c>
      <c r="I203" s="165" t="s">
        <v>2057</v>
      </c>
      <c r="J203" s="706">
        <v>4</v>
      </c>
      <c r="K203" s="706">
        <v>1</v>
      </c>
      <c r="L203" s="168">
        <v>50000</v>
      </c>
      <c r="M203" s="706">
        <v>1</v>
      </c>
      <c r="N203" s="164">
        <v>50000</v>
      </c>
      <c r="O203" s="706">
        <v>1</v>
      </c>
      <c r="P203" s="164">
        <v>50000</v>
      </c>
      <c r="Q203" s="706">
        <v>1</v>
      </c>
      <c r="R203" s="164">
        <v>50000</v>
      </c>
      <c r="S203" s="706">
        <v>1</v>
      </c>
      <c r="T203" s="164">
        <v>50000</v>
      </c>
      <c r="U203" s="706">
        <v>1</v>
      </c>
      <c r="V203" s="164">
        <v>50000</v>
      </c>
      <c r="W203" s="842">
        <v>5</v>
      </c>
      <c r="X203" s="885"/>
      <c r="Y203" s="884" t="s">
        <v>1571</v>
      </c>
    </row>
    <row r="204" spans="2:25" ht="63.75" x14ac:dyDescent="0.25">
      <c r="B204" s="2015"/>
      <c r="C204" s="675"/>
      <c r="D204" s="675"/>
      <c r="E204" s="675"/>
      <c r="F204" s="675"/>
      <c r="G204" s="173" t="s">
        <v>2058</v>
      </c>
      <c r="H204" s="173" t="s">
        <v>2059</v>
      </c>
      <c r="I204" s="165" t="s">
        <v>8</v>
      </c>
      <c r="J204" s="706">
        <v>9</v>
      </c>
      <c r="K204" s="706">
        <v>8</v>
      </c>
      <c r="L204" s="168">
        <v>0</v>
      </c>
      <c r="M204" s="706">
        <v>8</v>
      </c>
      <c r="N204" s="164">
        <v>1600000</v>
      </c>
      <c r="O204" s="706">
        <v>8</v>
      </c>
      <c r="P204" s="164">
        <v>1600000</v>
      </c>
      <c r="Q204" s="706">
        <v>8</v>
      </c>
      <c r="R204" s="164">
        <v>1600000</v>
      </c>
      <c r="S204" s="706">
        <v>8</v>
      </c>
      <c r="T204" s="164">
        <v>1600000</v>
      </c>
      <c r="U204" s="706">
        <v>8</v>
      </c>
      <c r="V204" s="164">
        <v>1600000</v>
      </c>
      <c r="W204" s="842">
        <v>40</v>
      </c>
      <c r="X204" s="885"/>
      <c r="Y204" s="884" t="s">
        <v>1571</v>
      </c>
    </row>
    <row r="205" spans="2:25" x14ac:dyDescent="0.25">
      <c r="B205" s="677"/>
      <c r="C205" s="676"/>
      <c r="D205" s="676"/>
      <c r="E205" s="676"/>
      <c r="F205" s="674"/>
      <c r="G205" s="173"/>
      <c r="H205" s="173"/>
      <c r="I205" s="165"/>
      <c r="J205" s="706"/>
      <c r="K205" s="706"/>
      <c r="L205" s="168"/>
      <c r="M205" s="706"/>
      <c r="N205" s="164"/>
      <c r="O205" s="706"/>
      <c r="P205" s="164"/>
      <c r="Q205" s="706"/>
      <c r="R205" s="164"/>
      <c r="S205" s="706"/>
      <c r="T205" s="164"/>
      <c r="U205" s="706"/>
      <c r="V205" s="164"/>
      <c r="W205" s="842"/>
      <c r="X205" s="885"/>
      <c r="Y205" s="884" t="s">
        <v>1571</v>
      </c>
    </row>
    <row r="206" spans="2:25" s="219" customFormat="1" ht="72" customHeight="1" x14ac:dyDescent="0.2">
      <c r="B206" s="2021" t="s">
        <v>33</v>
      </c>
      <c r="C206" s="1946" t="s">
        <v>34</v>
      </c>
      <c r="D206" s="1946" t="s">
        <v>3831</v>
      </c>
      <c r="E206" s="1792" t="s">
        <v>3992</v>
      </c>
      <c r="F206" s="1946" t="s">
        <v>3913</v>
      </c>
      <c r="G206" s="38" t="s">
        <v>3133</v>
      </c>
      <c r="H206" s="685" t="s">
        <v>1635</v>
      </c>
      <c r="I206" s="220" t="s">
        <v>19</v>
      </c>
      <c r="J206" s="223">
        <v>56</v>
      </c>
      <c r="K206" s="888">
        <v>39</v>
      </c>
      <c r="L206" s="889"/>
      <c r="M206" s="888">
        <v>47</v>
      </c>
      <c r="N206" s="889"/>
      <c r="O206" s="888">
        <v>54</v>
      </c>
      <c r="P206" s="889"/>
      <c r="Q206" s="888">
        <v>61</v>
      </c>
      <c r="R206" s="889"/>
      <c r="S206" s="888">
        <v>68</v>
      </c>
      <c r="T206" s="889"/>
      <c r="U206" s="888">
        <v>76</v>
      </c>
      <c r="V206" s="889"/>
      <c r="W206" s="862">
        <v>68</v>
      </c>
      <c r="X206" s="221"/>
      <c r="Y206" s="884" t="s">
        <v>1571</v>
      </c>
    </row>
    <row r="207" spans="2:25" ht="60" x14ac:dyDescent="0.25">
      <c r="B207" s="2021"/>
      <c r="C207" s="1947"/>
      <c r="D207" s="1947"/>
      <c r="E207" s="1793"/>
      <c r="F207" s="1947"/>
      <c r="G207" s="685" t="s">
        <v>578</v>
      </c>
      <c r="H207" s="685" t="s">
        <v>1638</v>
      </c>
      <c r="I207" s="686" t="s">
        <v>19</v>
      </c>
      <c r="J207" s="836">
        <v>56</v>
      </c>
      <c r="K207" s="836">
        <v>39</v>
      </c>
      <c r="L207" s="708">
        <f>SUM(L208:L221)</f>
        <v>611800</v>
      </c>
      <c r="M207" s="836">
        <v>47</v>
      </c>
      <c r="N207" s="708">
        <f>SUM(N208:N221)</f>
        <v>661300</v>
      </c>
      <c r="O207" s="836">
        <v>54</v>
      </c>
      <c r="P207" s="708">
        <f>SUM(P208:P221)</f>
        <v>727100</v>
      </c>
      <c r="Q207" s="836">
        <v>61</v>
      </c>
      <c r="R207" s="708">
        <f>SUM(R208:R221)</f>
        <v>800250</v>
      </c>
      <c r="S207" s="836">
        <v>68</v>
      </c>
      <c r="T207" s="708">
        <f>SUM(T208:T221)</f>
        <v>873005</v>
      </c>
      <c r="U207" s="836">
        <v>76</v>
      </c>
      <c r="V207" s="708">
        <f>SUM(V208:V221)</f>
        <v>968500</v>
      </c>
      <c r="W207" s="835">
        <v>68</v>
      </c>
      <c r="X207" s="221"/>
      <c r="Y207" s="884" t="s">
        <v>1571</v>
      </c>
    </row>
    <row r="208" spans="2:25" ht="38.25" x14ac:dyDescent="0.25">
      <c r="B208" s="2021"/>
      <c r="C208" s="674"/>
      <c r="D208" s="674"/>
      <c r="E208" s="674"/>
      <c r="F208" s="674"/>
      <c r="G208" s="173" t="s">
        <v>2068</v>
      </c>
      <c r="H208" s="173" t="s">
        <v>454</v>
      </c>
      <c r="I208" s="165" t="s">
        <v>1158</v>
      </c>
      <c r="J208" s="706">
        <v>12</v>
      </c>
      <c r="K208" s="706">
        <v>12</v>
      </c>
      <c r="L208" s="168">
        <v>1900</v>
      </c>
      <c r="M208" s="706">
        <v>12</v>
      </c>
      <c r="N208" s="164">
        <v>2300</v>
      </c>
      <c r="O208" s="706">
        <v>12</v>
      </c>
      <c r="P208" s="164">
        <v>2600</v>
      </c>
      <c r="Q208" s="706">
        <v>12</v>
      </c>
      <c r="R208" s="164">
        <v>2900</v>
      </c>
      <c r="S208" s="706">
        <v>12</v>
      </c>
      <c r="T208" s="164">
        <v>3200</v>
      </c>
      <c r="U208" s="706">
        <v>12</v>
      </c>
      <c r="V208" s="164">
        <v>3500</v>
      </c>
      <c r="W208" s="842">
        <v>60</v>
      </c>
      <c r="X208" s="885"/>
      <c r="Y208" s="884" t="s">
        <v>1571</v>
      </c>
    </row>
    <row r="209" spans="2:25" ht="63.75" x14ac:dyDescent="0.25">
      <c r="B209" s="2021"/>
      <c r="C209" s="674"/>
      <c r="D209" s="674"/>
      <c r="E209" s="674"/>
      <c r="F209" s="674"/>
      <c r="G209" s="173" t="s">
        <v>2069</v>
      </c>
      <c r="H209" s="173" t="s">
        <v>2070</v>
      </c>
      <c r="I209" s="165" t="s">
        <v>1158</v>
      </c>
      <c r="J209" s="706">
        <v>12</v>
      </c>
      <c r="K209" s="706">
        <v>12</v>
      </c>
      <c r="L209" s="168">
        <v>38000</v>
      </c>
      <c r="M209" s="706">
        <v>12</v>
      </c>
      <c r="N209" s="164">
        <v>41800</v>
      </c>
      <c r="O209" s="706">
        <v>12</v>
      </c>
      <c r="P209" s="164">
        <v>46000</v>
      </c>
      <c r="Q209" s="706">
        <v>12</v>
      </c>
      <c r="R209" s="164">
        <v>51000</v>
      </c>
      <c r="S209" s="706">
        <v>12</v>
      </c>
      <c r="T209" s="164">
        <v>56000</v>
      </c>
      <c r="U209" s="706">
        <v>12</v>
      </c>
      <c r="V209" s="164">
        <v>60000</v>
      </c>
      <c r="W209" s="842">
        <v>60</v>
      </c>
      <c r="X209" s="885"/>
      <c r="Y209" s="884" t="s">
        <v>1571</v>
      </c>
    </row>
    <row r="210" spans="2:25" ht="89.25" x14ac:dyDescent="0.25">
      <c r="B210" s="2021"/>
      <c r="C210" s="674"/>
      <c r="D210" s="674"/>
      <c r="E210" s="674"/>
      <c r="F210" s="674"/>
      <c r="G210" s="173" t="s">
        <v>2071</v>
      </c>
      <c r="H210" s="173" t="s">
        <v>2072</v>
      </c>
      <c r="I210" s="165" t="s">
        <v>1158</v>
      </c>
      <c r="J210" s="706">
        <v>12</v>
      </c>
      <c r="K210" s="706">
        <v>12</v>
      </c>
      <c r="L210" s="168">
        <v>155000</v>
      </c>
      <c r="M210" s="706">
        <v>12</v>
      </c>
      <c r="N210" s="164">
        <v>170000</v>
      </c>
      <c r="O210" s="706">
        <v>12</v>
      </c>
      <c r="P210" s="164">
        <v>180000</v>
      </c>
      <c r="Q210" s="706">
        <v>12</v>
      </c>
      <c r="R210" s="164">
        <v>190000</v>
      </c>
      <c r="S210" s="706">
        <v>12</v>
      </c>
      <c r="T210" s="164">
        <v>200000</v>
      </c>
      <c r="U210" s="706">
        <v>12</v>
      </c>
      <c r="V210" s="164">
        <v>250000</v>
      </c>
      <c r="W210" s="842">
        <v>60</v>
      </c>
      <c r="X210" s="885"/>
      <c r="Y210" s="884" t="s">
        <v>1571</v>
      </c>
    </row>
    <row r="211" spans="2:25" ht="25.5" x14ac:dyDescent="0.25">
      <c r="B211" s="2021"/>
      <c r="C211" s="674"/>
      <c r="D211" s="674"/>
      <c r="E211" s="674"/>
      <c r="F211" s="674"/>
      <c r="G211" s="173" t="s">
        <v>2073</v>
      </c>
      <c r="H211" s="173" t="s">
        <v>2074</v>
      </c>
      <c r="I211" s="165" t="s">
        <v>427</v>
      </c>
      <c r="J211" s="706">
        <v>28</v>
      </c>
      <c r="K211" s="706">
        <v>24</v>
      </c>
      <c r="L211" s="168">
        <v>40000</v>
      </c>
      <c r="M211" s="706">
        <v>20</v>
      </c>
      <c r="N211" s="164">
        <v>55000</v>
      </c>
      <c r="O211" s="706">
        <v>20</v>
      </c>
      <c r="P211" s="164">
        <v>60500</v>
      </c>
      <c r="Q211" s="706">
        <v>20</v>
      </c>
      <c r="R211" s="164">
        <v>66550</v>
      </c>
      <c r="S211" s="706">
        <v>20</v>
      </c>
      <c r="T211" s="164">
        <v>73205</v>
      </c>
      <c r="U211" s="706">
        <v>20</v>
      </c>
      <c r="V211" s="164">
        <v>75000</v>
      </c>
      <c r="W211" s="842">
        <v>104</v>
      </c>
      <c r="X211" s="885"/>
      <c r="Y211" s="884" t="s">
        <v>1571</v>
      </c>
    </row>
    <row r="212" spans="2:25" ht="38.25" x14ac:dyDescent="0.25">
      <c r="B212" s="2021"/>
      <c r="C212" s="674"/>
      <c r="D212" s="674"/>
      <c r="E212" s="674"/>
      <c r="F212" s="674"/>
      <c r="G212" s="173" t="s">
        <v>2075</v>
      </c>
      <c r="H212" s="173" t="s">
        <v>2076</v>
      </c>
      <c r="I212" s="165" t="s">
        <v>1158</v>
      </c>
      <c r="J212" s="706">
        <v>12</v>
      </c>
      <c r="K212" s="706">
        <v>12</v>
      </c>
      <c r="L212" s="168">
        <v>10000</v>
      </c>
      <c r="M212" s="706">
        <v>12</v>
      </c>
      <c r="N212" s="164">
        <v>12000</v>
      </c>
      <c r="O212" s="706">
        <v>12</v>
      </c>
      <c r="P212" s="164">
        <v>14000</v>
      </c>
      <c r="Q212" s="706">
        <v>12</v>
      </c>
      <c r="R212" s="164">
        <v>16000</v>
      </c>
      <c r="S212" s="706">
        <v>12</v>
      </c>
      <c r="T212" s="164">
        <v>18000</v>
      </c>
      <c r="U212" s="706">
        <v>12</v>
      </c>
      <c r="V212" s="164">
        <v>20000</v>
      </c>
      <c r="W212" s="842">
        <v>60</v>
      </c>
      <c r="X212" s="885"/>
      <c r="Y212" s="884" t="s">
        <v>1571</v>
      </c>
    </row>
    <row r="213" spans="2:25" ht="38.25" x14ac:dyDescent="0.25">
      <c r="B213" s="2021"/>
      <c r="C213" s="674"/>
      <c r="D213" s="674"/>
      <c r="E213" s="674"/>
      <c r="F213" s="674"/>
      <c r="G213" s="173" t="s">
        <v>2077</v>
      </c>
      <c r="H213" s="173" t="s">
        <v>2078</v>
      </c>
      <c r="I213" s="165" t="s">
        <v>1158</v>
      </c>
      <c r="J213" s="706">
        <v>12</v>
      </c>
      <c r="K213" s="706">
        <v>12</v>
      </c>
      <c r="L213" s="168">
        <v>10500</v>
      </c>
      <c r="M213" s="706">
        <v>12</v>
      </c>
      <c r="N213" s="164">
        <v>13000</v>
      </c>
      <c r="O213" s="706">
        <v>12</v>
      </c>
      <c r="P213" s="164">
        <v>16000</v>
      </c>
      <c r="Q213" s="706">
        <v>12</v>
      </c>
      <c r="R213" s="164">
        <v>19000</v>
      </c>
      <c r="S213" s="706">
        <v>12</v>
      </c>
      <c r="T213" s="164">
        <v>21000</v>
      </c>
      <c r="U213" s="706">
        <v>12</v>
      </c>
      <c r="V213" s="164">
        <v>24000</v>
      </c>
      <c r="W213" s="842">
        <v>60</v>
      </c>
      <c r="X213" s="885"/>
      <c r="Y213" s="884" t="s">
        <v>1571</v>
      </c>
    </row>
    <row r="214" spans="2:25" ht="25.5" x14ac:dyDescent="0.25">
      <c r="B214" s="2021"/>
      <c r="C214" s="674"/>
      <c r="D214" s="674"/>
      <c r="E214" s="674"/>
      <c r="F214" s="674"/>
      <c r="G214" s="173" t="s">
        <v>2079</v>
      </c>
      <c r="H214" s="173" t="s">
        <v>2080</v>
      </c>
      <c r="I214" s="165" t="s">
        <v>1158</v>
      </c>
      <c r="J214" s="706">
        <v>12</v>
      </c>
      <c r="K214" s="706">
        <v>12</v>
      </c>
      <c r="L214" s="168">
        <v>33500</v>
      </c>
      <c r="M214" s="706">
        <v>12</v>
      </c>
      <c r="N214" s="164">
        <v>36000</v>
      </c>
      <c r="O214" s="706">
        <v>12</v>
      </c>
      <c r="P214" s="164">
        <v>40000</v>
      </c>
      <c r="Q214" s="706">
        <v>12</v>
      </c>
      <c r="R214" s="164">
        <v>45000</v>
      </c>
      <c r="S214" s="706">
        <v>12</v>
      </c>
      <c r="T214" s="164">
        <v>50000</v>
      </c>
      <c r="U214" s="706">
        <v>12</v>
      </c>
      <c r="V214" s="164">
        <v>50000</v>
      </c>
      <c r="W214" s="842">
        <v>60</v>
      </c>
      <c r="X214" s="885"/>
      <c r="Y214" s="884" t="s">
        <v>1571</v>
      </c>
    </row>
    <row r="215" spans="2:25" ht="51" x14ac:dyDescent="0.25">
      <c r="B215" s="2021"/>
      <c r="C215" s="674"/>
      <c r="D215" s="674"/>
      <c r="E215" s="674"/>
      <c r="F215" s="674"/>
      <c r="G215" s="173" t="s">
        <v>2081</v>
      </c>
      <c r="H215" s="173" t="s">
        <v>463</v>
      </c>
      <c r="I215" s="165" t="s">
        <v>1158</v>
      </c>
      <c r="J215" s="706">
        <v>12</v>
      </c>
      <c r="K215" s="706">
        <v>12</v>
      </c>
      <c r="L215" s="168">
        <v>25500</v>
      </c>
      <c r="M215" s="706">
        <v>12</v>
      </c>
      <c r="N215" s="164">
        <v>28000</v>
      </c>
      <c r="O215" s="706">
        <v>12</v>
      </c>
      <c r="P215" s="164">
        <v>32000</v>
      </c>
      <c r="Q215" s="706">
        <v>12</v>
      </c>
      <c r="R215" s="164">
        <v>36000</v>
      </c>
      <c r="S215" s="706">
        <v>12</v>
      </c>
      <c r="T215" s="164">
        <v>40000</v>
      </c>
      <c r="U215" s="706">
        <v>12</v>
      </c>
      <c r="V215" s="164">
        <v>44000</v>
      </c>
      <c r="W215" s="842">
        <v>60</v>
      </c>
      <c r="X215" s="885"/>
      <c r="Y215" s="884" t="s">
        <v>1571</v>
      </c>
    </row>
    <row r="216" spans="2:25" ht="76.5" x14ac:dyDescent="0.25">
      <c r="B216" s="2021"/>
      <c r="C216" s="674"/>
      <c r="D216" s="674"/>
      <c r="E216" s="674"/>
      <c r="F216" s="674"/>
      <c r="G216" s="173" t="s">
        <v>2082</v>
      </c>
      <c r="H216" s="173" t="s">
        <v>2083</v>
      </c>
      <c r="I216" s="165" t="s">
        <v>1158</v>
      </c>
      <c r="J216" s="706">
        <v>12</v>
      </c>
      <c r="K216" s="706">
        <v>12</v>
      </c>
      <c r="L216" s="168">
        <v>5000</v>
      </c>
      <c r="M216" s="706">
        <v>12</v>
      </c>
      <c r="N216" s="164">
        <v>7500</v>
      </c>
      <c r="O216" s="706">
        <v>12</v>
      </c>
      <c r="P216" s="164">
        <v>8000</v>
      </c>
      <c r="Q216" s="706">
        <v>12</v>
      </c>
      <c r="R216" s="164">
        <v>8500</v>
      </c>
      <c r="S216" s="706">
        <v>12</v>
      </c>
      <c r="T216" s="164">
        <v>9000</v>
      </c>
      <c r="U216" s="706">
        <v>12</v>
      </c>
      <c r="V216" s="164">
        <v>10000</v>
      </c>
      <c r="W216" s="842">
        <v>60</v>
      </c>
      <c r="X216" s="885"/>
      <c r="Y216" s="884" t="s">
        <v>1571</v>
      </c>
    </row>
    <row r="217" spans="2:25" ht="63.75" x14ac:dyDescent="0.25">
      <c r="B217" s="2021"/>
      <c r="C217" s="674"/>
      <c r="D217" s="674"/>
      <c r="E217" s="674"/>
      <c r="F217" s="674"/>
      <c r="G217" s="173" t="s">
        <v>56</v>
      </c>
      <c r="H217" s="173" t="s">
        <v>2084</v>
      </c>
      <c r="I217" s="165" t="s">
        <v>1158</v>
      </c>
      <c r="J217" s="706">
        <v>12</v>
      </c>
      <c r="K217" s="706">
        <v>12</v>
      </c>
      <c r="L217" s="168">
        <v>13000</v>
      </c>
      <c r="M217" s="706">
        <v>12</v>
      </c>
      <c r="N217" s="164">
        <v>15000</v>
      </c>
      <c r="O217" s="706">
        <v>12</v>
      </c>
      <c r="P217" s="164">
        <v>16000</v>
      </c>
      <c r="Q217" s="706">
        <v>12</v>
      </c>
      <c r="R217" s="164">
        <v>17000</v>
      </c>
      <c r="S217" s="706">
        <v>12</v>
      </c>
      <c r="T217" s="164">
        <v>18000</v>
      </c>
      <c r="U217" s="706">
        <v>12</v>
      </c>
      <c r="V217" s="164">
        <v>19000</v>
      </c>
      <c r="W217" s="842">
        <v>60</v>
      </c>
      <c r="X217" s="885"/>
      <c r="Y217" s="884" t="s">
        <v>1571</v>
      </c>
    </row>
    <row r="218" spans="2:25" ht="38.25" x14ac:dyDescent="0.25">
      <c r="B218" s="2021"/>
      <c r="C218" s="674"/>
      <c r="D218" s="674"/>
      <c r="E218" s="674"/>
      <c r="F218" s="674"/>
      <c r="G218" s="173" t="s">
        <v>58</v>
      </c>
      <c r="H218" s="173" t="s">
        <v>2085</v>
      </c>
      <c r="I218" s="165" t="s">
        <v>1158</v>
      </c>
      <c r="J218" s="706">
        <v>12</v>
      </c>
      <c r="K218" s="706">
        <v>12</v>
      </c>
      <c r="L218" s="168">
        <v>10000</v>
      </c>
      <c r="M218" s="706">
        <v>12</v>
      </c>
      <c r="N218" s="164">
        <v>12000</v>
      </c>
      <c r="O218" s="706">
        <v>12</v>
      </c>
      <c r="P218" s="164">
        <v>14000</v>
      </c>
      <c r="Q218" s="706">
        <v>12</v>
      </c>
      <c r="R218" s="164">
        <v>16000</v>
      </c>
      <c r="S218" s="706">
        <v>12</v>
      </c>
      <c r="T218" s="164">
        <v>18000</v>
      </c>
      <c r="U218" s="706">
        <v>12</v>
      </c>
      <c r="V218" s="164">
        <v>20000</v>
      </c>
      <c r="W218" s="842">
        <v>60</v>
      </c>
      <c r="X218" s="885"/>
      <c r="Y218" s="884" t="s">
        <v>1571</v>
      </c>
    </row>
    <row r="219" spans="2:25" ht="63.75" x14ac:dyDescent="0.25">
      <c r="B219" s="2021"/>
      <c r="C219" s="674"/>
      <c r="D219" s="674"/>
      <c r="E219" s="674"/>
      <c r="F219" s="674"/>
      <c r="G219" s="173" t="s">
        <v>137</v>
      </c>
      <c r="H219" s="173" t="s">
        <v>247</v>
      </c>
      <c r="I219" s="165" t="s">
        <v>1158</v>
      </c>
      <c r="J219" s="706">
        <v>12</v>
      </c>
      <c r="K219" s="706">
        <v>12</v>
      </c>
      <c r="L219" s="168">
        <v>25000</v>
      </c>
      <c r="M219" s="706">
        <v>12</v>
      </c>
      <c r="N219" s="164">
        <v>50000</v>
      </c>
      <c r="O219" s="706">
        <v>12</v>
      </c>
      <c r="P219" s="164">
        <v>55000</v>
      </c>
      <c r="Q219" s="706">
        <v>12</v>
      </c>
      <c r="R219" s="164">
        <v>65000</v>
      </c>
      <c r="S219" s="706">
        <v>12</v>
      </c>
      <c r="T219" s="164">
        <v>75000</v>
      </c>
      <c r="U219" s="706">
        <v>12</v>
      </c>
      <c r="V219" s="164">
        <v>80000</v>
      </c>
      <c r="W219" s="842">
        <v>60</v>
      </c>
      <c r="X219" s="885"/>
      <c r="Y219" s="884" t="s">
        <v>1571</v>
      </c>
    </row>
    <row r="220" spans="2:25" ht="38.25" x14ac:dyDescent="0.25">
      <c r="B220" s="2021"/>
      <c r="C220" s="674"/>
      <c r="D220" s="674"/>
      <c r="E220" s="674"/>
      <c r="F220" s="674"/>
      <c r="G220" s="173" t="s">
        <v>468</v>
      </c>
      <c r="H220" s="173" t="s">
        <v>2086</v>
      </c>
      <c r="I220" s="165" t="s">
        <v>1158</v>
      </c>
      <c r="J220" s="706">
        <v>12</v>
      </c>
      <c r="K220" s="706">
        <v>12</v>
      </c>
      <c r="L220" s="168">
        <v>224400</v>
      </c>
      <c r="M220" s="706">
        <v>12</v>
      </c>
      <c r="N220" s="164">
        <v>193500</v>
      </c>
      <c r="O220" s="706">
        <v>12</v>
      </c>
      <c r="P220" s="164">
        <v>211500</v>
      </c>
      <c r="Q220" s="706">
        <v>12</v>
      </c>
      <c r="R220" s="164">
        <v>229500</v>
      </c>
      <c r="S220" s="706">
        <v>12</v>
      </c>
      <c r="T220" s="164">
        <v>247500</v>
      </c>
      <c r="U220" s="706">
        <v>12</v>
      </c>
      <c r="V220" s="164">
        <v>265500</v>
      </c>
      <c r="W220" s="842">
        <v>60</v>
      </c>
      <c r="X220" s="885"/>
      <c r="Y220" s="884" t="s">
        <v>1571</v>
      </c>
    </row>
    <row r="221" spans="2:25" ht="63.75" x14ac:dyDescent="0.25">
      <c r="B221" s="2021"/>
      <c r="C221" s="674"/>
      <c r="D221" s="674"/>
      <c r="E221" s="674"/>
      <c r="F221" s="674"/>
      <c r="G221" s="173" t="s">
        <v>2087</v>
      </c>
      <c r="H221" s="173" t="s">
        <v>2088</v>
      </c>
      <c r="I221" s="165" t="s">
        <v>1158</v>
      </c>
      <c r="J221" s="706">
        <v>12</v>
      </c>
      <c r="K221" s="706">
        <v>12</v>
      </c>
      <c r="L221" s="168">
        <v>20000</v>
      </c>
      <c r="M221" s="706">
        <v>12</v>
      </c>
      <c r="N221" s="164">
        <v>25200</v>
      </c>
      <c r="O221" s="706">
        <v>12</v>
      </c>
      <c r="P221" s="164">
        <v>31500</v>
      </c>
      <c r="Q221" s="706">
        <v>12</v>
      </c>
      <c r="R221" s="164">
        <v>37800</v>
      </c>
      <c r="S221" s="706">
        <v>12</v>
      </c>
      <c r="T221" s="164">
        <v>44100</v>
      </c>
      <c r="U221" s="706">
        <v>12</v>
      </c>
      <c r="V221" s="164">
        <v>47500</v>
      </c>
      <c r="W221" s="842">
        <v>60</v>
      </c>
      <c r="X221" s="885"/>
      <c r="Y221" s="884" t="s">
        <v>1571</v>
      </c>
    </row>
    <row r="222" spans="2:25" ht="60" x14ac:dyDescent="0.25">
      <c r="B222" s="2021"/>
      <c r="C222" s="674"/>
      <c r="D222" s="674"/>
      <c r="E222" s="674"/>
      <c r="F222" s="170"/>
      <c r="G222" s="685" t="s">
        <v>65</v>
      </c>
      <c r="H222" s="685" t="s">
        <v>1642</v>
      </c>
      <c r="I222" s="686" t="s">
        <v>19</v>
      </c>
      <c r="J222" s="707">
        <v>56</v>
      </c>
      <c r="K222" s="836">
        <v>20</v>
      </c>
      <c r="L222" s="708">
        <f>SUM(L223:L242)</f>
        <v>427000</v>
      </c>
      <c r="M222" s="836">
        <v>20</v>
      </c>
      <c r="N222" s="708">
        <f>SUM(N223:N242)</f>
        <v>2452000</v>
      </c>
      <c r="O222" s="836">
        <v>20</v>
      </c>
      <c r="P222" s="708">
        <f>SUM(P223:P242)</f>
        <v>955000</v>
      </c>
      <c r="Q222" s="836">
        <v>20</v>
      </c>
      <c r="R222" s="708">
        <f>SUM(R223:R242)</f>
        <v>2285000</v>
      </c>
      <c r="S222" s="836">
        <v>20</v>
      </c>
      <c r="T222" s="708">
        <f>SUM(T223:T242)</f>
        <v>580000</v>
      </c>
      <c r="U222" s="836">
        <v>20</v>
      </c>
      <c r="V222" s="708">
        <f>SUM(V223:V242)</f>
        <v>1405000</v>
      </c>
      <c r="W222" s="835">
        <v>100</v>
      </c>
      <c r="X222" s="221"/>
      <c r="Y222" s="884" t="s">
        <v>1571</v>
      </c>
    </row>
    <row r="223" spans="2:25" ht="76.5" x14ac:dyDescent="0.25">
      <c r="B223" s="2021"/>
      <c r="C223" s="674"/>
      <c r="D223" s="674"/>
      <c r="E223" s="674"/>
      <c r="F223" s="674"/>
      <c r="G223" s="2019" t="s">
        <v>950</v>
      </c>
      <c r="H223" s="173" t="s">
        <v>2089</v>
      </c>
      <c r="I223" s="165" t="s">
        <v>251</v>
      </c>
      <c r="J223" s="706">
        <v>42</v>
      </c>
      <c r="K223" s="706">
        <v>0</v>
      </c>
      <c r="L223" s="168">
        <v>0</v>
      </c>
      <c r="M223" s="706">
        <v>18</v>
      </c>
      <c r="N223" s="164">
        <v>740000</v>
      </c>
      <c r="O223" s="706">
        <v>5</v>
      </c>
      <c r="P223" s="164">
        <v>100000</v>
      </c>
      <c r="Q223" s="706">
        <v>6</v>
      </c>
      <c r="R223" s="164">
        <v>500000</v>
      </c>
      <c r="S223" s="706">
        <v>5</v>
      </c>
      <c r="T223" s="164">
        <v>100000</v>
      </c>
      <c r="U223" s="706">
        <v>6</v>
      </c>
      <c r="V223" s="164">
        <v>500000</v>
      </c>
      <c r="W223" s="842">
        <v>34</v>
      </c>
      <c r="X223" s="885"/>
      <c r="Y223" s="884" t="s">
        <v>1571</v>
      </c>
    </row>
    <row r="224" spans="2:25" x14ac:dyDescent="0.25">
      <c r="B224" s="2021"/>
      <c r="C224" s="674"/>
      <c r="D224" s="674"/>
      <c r="E224" s="674"/>
      <c r="F224" s="674"/>
      <c r="G224" s="2019"/>
      <c r="H224" s="890" t="s">
        <v>2090</v>
      </c>
      <c r="I224" s="165" t="s">
        <v>251</v>
      </c>
      <c r="J224" s="706">
        <v>7</v>
      </c>
      <c r="K224" s="706">
        <v>0</v>
      </c>
      <c r="L224" s="168">
        <v>0</v>
      </c>
      <c r="M224" s="706">
        <v>1</v>
      </c>
      <c r="N224" s="164">
        <v>400000</v>
      </c>
      <c r="O224" s="706">
        <v>0</v>
      </c>
      <c r="P224" s="164">
        <v>0</v>
      </c>
      <c r="Q224" s="706">
        <v>1</v>
      </c>
      <c r="R224" s="164">
        <v>400000</v>
      </c>
      <c r="S224" s="706">
        <v>0</v>
      </c>
      <c r="T224" s="164">
        <v>0</v>
      </c>
      <c r="U224" s="706">
        <v>1</v>
      </c>
      <c r="V224" s="164">
        <v>400000</v>
      </c>
      <c r="W224" s="842">
        <v>2</v>
      </c>
      <c r="X224" s="885"/>
      <c r="Y224" s="884" t="s">
        <v>1571</v>
      </c>
    </row>
    <row r="225" spans="2:25" x14ac:dyDescent="0.25">
      <c r="B225" s="2021"/>
      <c r="C225" s="674"/>
      <c r="D225" s="674"/>
      <c r="E225" s="674"/>
      <c r="F225" s="674"/>
      <c r="G225" s="2019"/>
      <c r="H225" s="890" t="s">
        <v>2091</v>
      </c>
      <c r="I225" s="165" t="s">
        <v>251</v>
      </c>
      <c r="J225" s="706">
        <v>35</v>
      </c>
      <c r="K225" s="706">
        <v>0</v>
      </c>
      <c r="L225" s="168">
        <v>0</v>
      </c>
      <c r="M225" s="706">
        <v>17</v>
      </c>
      <c r="N225" s="164">
        <v>340000</v>
      </c>
      <c r="O225" s="706">
        <v>5</v>
      </c>
      <c r="P225" s="164">
        <v>100000</v>
      </c>
      <c r="Q225" s="706">
        <v>5</v>
      </c>
      <c r="R225" s="164">
        <v>100000</v>
      </c>
      <c r="S225" s="706">
        <v>5</v>
      </c>
      <c r="T225" s="164">
        <v>100000</v>
      </c>
      <c r="U225" s="706">
        <v>5</v>
      </c>
      <c r="V225" s="164">
        <v>100000</v>
      </c>
      <c r="W225" s="842">
        <v>32</v>
      </c>
      <c r="X225" s="885"/>
      <c r="Y225" s="884" t="s">
        <v>1571</v>
      </c>
    </row>
    <row r="226" spans="2:25" ht="38.25" x14ac:dyDescent="0.25">
      <c r="B226" s="2021"/>
      <c r="C226" s="674"/>
      <c r="D226" s="674"/>
      <c r="E226" s="674"/>
      <c r="F226" s="674"/>
      <c r="G226" s="2019" t="s">
        <v>2092</v>
      </c>
      <c r="H226" s="173" t="s">
        <v>2093</v>
      </c>
      <c r="I226" s="165" t="s">
        <v>251</v>
      </c>
      <c r="J226" s="706">
        <v>194</v>
      </c>
      <c r="K226" s="706">
        <v>15</v>
      </c>
      <c r="L226" s="168">
        <v>11500</v>
      </c>
      <c r="M226" s="706">
        <v>69</v>
      </c>
      <c r="N226" s="164">
        <v>257000</v>
      </c>
      <c r="O226" s="706">
        <v>65</v>
      </c>
      <c r="P226" s="164">
        <v>245000</v>
      </c>
      <c r="Q226" s="706">
        <v>115</v>
      </c>
      <c r="R226" s="164">
        <v>445000</v>
      </c>
      <c r="S226" s="706">
        <v>15</v>
      </c>
      <c r="T226" s="164">
        <v>45000</v>
      </c>
      <c r="U226" s="706">
        <v>15</v>
      </c>
      <c r="V226" s="164">
        <v>45000</v>
      </c>
      <c r="W226" s="842">
        <v>279</v>
      </c>
      <c r="X226" s="885"/>
      <c r="Y226" s="884" t="s">
        <v>1571</v>
      </c>
    </row>
    <row r="227" spans="2:25" x14ac:dyDescent="0.25">
      <c r="B227" s="2021"/>
      <c r="C227" s="674"/>
      <c r="D227" s="674"/>
      <c r="E227" s="674"/>
      <c r="F227" s="674"/>
      <c r="G227" s="2019"/>
      <c r="H227" s="891" t="s">
        <v>2094</v>
      </c>
      <c r="I227" s="165" t="s">
        <v>251</v>
      </c>
      <c r="J227" s="706">
        <v>10</v>
      </c>
      <c r="K227" s="706">
        <v>0</v>
      </c>
      <c r="L227" s="168">
        <v>0</v>
      </c>
      <c r="M227" s="706">
        <v>4</v>
      </c>
      <c r="N227" s="164">
        <v>12000</v>
      </c>
      <c r="O227" s="706">
        <v>0</v>
      </c>
      <c r="P227" s="164">
        <v>0</v>
      </c>
      <c r="Q227" s="706">
        <v>0</v>
      </c>
      <c r="R227" s="164">
        <v>0</v>
      </c>
      <c r="S227" s="706">
        <v>0</v>
      </c>
      <c r="T227" s="164">
        <v>0</v>
      </c>
      <c r="U227" s="706">
        <v>0</v>
      </c>
      <c r="V227" s="164">
        <v>0</v>
      </c>
      <c r="W227" s="842">
        <v>4</v>
      </c>
      <c r="X227" s="885"/>
      <c r="Y227" s="884" t="s">
        <v>1571</v>
      </c>
    </row>
    <row r="228" spans="2:25" x14ac:dyDescent="0.25">
      <c r="B228" s="2021"/>
      <c r="C228" s="674"/>
      <c r="D228" s="674"/>
      <c r="E228" s="674"/>
      <c r="F228" s="674"/>
      <c r="G228" s="2019"/>
      <c r="H228" s="891" t="s">
        <v>2095</v>
      </c>
      <c r="I228" s="165" t="s">
        <v>251</v>
      </c>
      <c r="J228" s="706">
        <v>62</v>
      </c>
      <c r="K228" s="706">
        <v>0</v>
      </c>
      <c r="L228" s="168">
        <v>0</v>
      </c>
      <c r="M228" s="706">
        <v>10</v>
      </c>
      <c r="N228" s="164">
        <v>30000</v>
      </c>
      <c r="O228" s="706">
        <v>10</v>
      </c>
      <c r="P228" s="164">
        <v>30000</v>
      </c>
      <c r="Q228" s="706">
        <v>5</v>
      </c>
      <c r="R228" s="164">
        <v>15000</v>
      </c>
      <c r="S228" s="706">
        <v>5</v>
      </c>
      <c r="T228" s="164">
        <v>15000</v>
      </c>
      <c r="U228" s="706">
        <v>5</v>
      </c>
      <c r="V228" s="164">
        <v>15000</v>
      </c>
      <c r="W228" s="842">
        <v>30</v>
      </c>
      <c r="X228" s="885"/>
      <c r="Y228" s="884" t="s">
        <v>1571</v>
      </c>
    </row>
    <row r="229" spans="2:25" x14ac:dyDescent="0.25">
      <c r="B229" s="2021"/>
      <c r="C229" s="674"/>
      <c r="D229" s="674"/>
      <c r="E229" s="674"/>
      <c r="F229" s="674"/>
      <c r="G229" s="2019"/>
      <c r="H229" s="891" t="s">
        <v>2096</v>
      </c>
      <c r="I229" s="165" t="s">
        <v>251</v>
      </c>
      <c r="J229" s="706">
        <v>100</v>
      </c>
      <c r="K229" s="706">
        <v>15</v>
      </c>
      <c r="L229" s="168">
        <v>11500</v>
      </c>
      <c r="M229" s="706">
        <v>50</v>
      </c>
      <c r="N229" s="164">
        <v>200000</v>
      </c>
      <c r="O229" s="706">
        <v>50</v>
      </c>
      <c r="P229" s="164">
        <v>200000</v>
      </c>
      <c r="Q229" s="706">
        <v>100</v>
      </c>
      <c r="R229" s="164">
        <v>400000</v>
      </c>
      <c r="S229" s="706">
        <v>0</v>
      </c>
      <c r="T229" s="164">
        <v>0</v>
      </c>
      <c r="U229" s="706">
        <v>0</v>
      </c>
      <c r="V229" s="164">
        <v>0</v>
      </c>
      <c r="W229" s="842">
        <v>215</v>
      </c>
      <c r="X229" s="885"/>
      <c r="Y229" s="884" t="s">
        <v>1571</v>
      </c>
    </row>
    <row r="230" spans="2:25" x14ac:dyDescent="0.25">
      <c r="B230" s="2021"/>
      <c r="C230" s="674"/>
      <c r="D230" s="674"/>
      <c r="E230" s="674"/>
      <c r="F230" s="674"/>
      <c r="G230" s="2019"/>
      <c r="H230" s="891" t="s">
        <v>2097</v>
      </c>
      <c r="I230" s="165" t="s">
        <v>251</v>
      </c>
      <c r="J230" s="706">
        <v>22</v>
      </c>
      <c r="K230" s="706">
        <v>0</v>
      </c>
      <c r="L230" s="168">
        <v>0</v>
      </c>
      <c r="M230" s="706">
        <v>5</v>
      </c>
      <c r="N230" s="164">
        <v>15000</v>
      </c>
      <c r="O230" s="706">
        <v>5</v>
      </c>
      <c r="P230" s="164">
        <v>15000</v>
      </c>
      <c r="Q230" s="706">
        <v>10</v>
      </c>
      <c r="R230" s="164">
        <v>30000</v>
      </c>
      <c r="S230" s="706">
        <v>10</v>
      </c>
      <c r="T230" s="164">
        <v>30000</v>
      </c>
      <c r="U230" s="706">
        <v>10</v>
      </c>
      <c r="V230" s="164">
        <v>30000</v>
      </c>
      <c r="W230" s="842">
        <v>30</v>
      </c>
      <c r="X230" s="885"/>
      <c r="Y230" s="884" t="s">
        <v>1571</v>
      </c>
    </row>
    <row r="231" spans="2:25" ht="51" x14ac:dyDescent="0.25">
      <c r="B231" s="2021"/>
      <c r="C231" s="674"/>
      <c r="D231" s="674"/>
      <c r="E231" s="674"/>
      <c r="F231" s="674"/>
      <c r="G231" s="2019" t="s">
        <v>2098</v>
      </c>
      <c r="H231" s="173" t="s">
        <v>2099</v>
      </c>
      <c r="I231" s="165" t="s">
        <v>251</v>
      </c>
      <c r="J231" s="706">
        <v>13553</v>
      </c>
      <c r="K231" s="706">
        <v>34</v>
      </c>
      <c r="L231" s="168">
        <v>164500.00000000003</v>
      </c>
      <c r="M231" s="706">
        <v>13518</v>
      </c>
      <c r="N231" s="164">
        <v>129000</v>
      </c>
      <c r="O231" s="706">
        <v>5</v>
      </c>
      <c r="P231" s="164">
        <v>32500</v>
      </c>
      <c r="Q231" s="706">
        <v>13</v>
      </c>
      <c r="R231" s="164">
        <v>72500</v>
      </c>
      <c r="S231" s="706">
        <v>10010</v>
      </c>
      <c r="T231" s="164">
        <v>20000</v>
      </c>
      <c r="U231" s="706">
        <v>5</v>
      </c>
      <c r="V231" s="164">
        <v>32500</v>
      </c>
      <c r="W231" s="842">
        <v>23580</v>
      </c>
      <c r="X231" s="885"/>
      <c r="Y231" s="884" t="s">
        <v>1571</v>
      </c>
    </row>
    <row r="232" spans="2:25" x14ac:dyDescent="0.25">
      <c r="B232" s="2021"/>
      <c r="C232" s="674"/>
      <c r="D232" s="674"/>
      <c r="E232" s="674"/>
      <c r="F232" s="674"/>
      <c r="G232" s="2019"/>
      <c r="H232" s="890" t="s">
        <v>2100</v>
      </c>
      <c r="I232" s="165" t="s">
        <v>75</v>
      </c>
      <c r="J232" s="706">
        <v>7</v>
      </c>
      <c r="K232" s="706">
        <v>2</v>
      </c>
      <c r="L232" s="168">
        <v>6000</v>
      </c>
      <c r="M232" s="706">
        <v>8</v>
      </c>
      <c r="N232" s="164">
        <v>52000</v>
      </c>
      <c r="O232" s="706">
        <v>5</v>
      </c>
      <c r="P232" s="164">
        <v>32500</v>
      </c>
      <c r="Q232" s="706">
        <v>5</v>
      </c>
      <c r="R232" s="164">
        <v>32500</v>
      </c>
      <c r="S232" s="706">
        <v>0</v>
      </c>
      <c r="T232" s="164">
        <v>0</v>
      </c>
      <c r="U232" s="706">
        <v>5</v>
      </c>
      <c r="V232" s="164">
        <v>32500</v>
      </c>
      <c r="W232" s="842">
        <v>20</v>
      </c>
      <c r="X232" s="885"/>
      <c r="Y232" s="884" t="s">
        <v>1571</v>
      </c>
    </row>
    <row r="233" spans="2:25" ht="25.5" x14ac:dyDescent="0.25">
      <c r="B233" s="2021"/>
      <c r="C233" s="674"/>
      <c r="D233" s="674"/>
      <c r="E233" s="674"/>
      <c r="F233" s="674"/>
      <c r="G233" s="2019"/>
      <c r="H233" s="890" t="s">
        <v>2101</v>
      </c>
      <c r="I233" s="165" t="s">
        <v>75</v>
      </c>
      <c r="J233" s="706">
        <v>0</v>
      </c>
      <c r="K233" s="706">
        <v>1</v>
      </c>
      <c r="L233" s="168">
        <v>2000</v>
      </c>
      <c r="M233" s="706">
        <v>0</v>
      </c>
      <c r="N233" s="164">
        <v>0</v>
      </c>
      <c r="O233" s="706">
        <v>0</v>
      </c>
      <c r="P233" s="164">
        <v>0</v>
      </c>
      <c r="Q233" s="706">
        <v>0</v>
      </c>
      <c r="R233" s="164">
        <v>0</v>
      </c>
      <c r="S233" s="706">
        <v>0</v>
      </c>
      <c r="T233" s="164">
        <v>0</v>
      </c>
      <c r="U233" s="706">
        <v>0</v>
      </c>
      <c r="V233" s="164">
        <v>0</v>
      </c>
      <c r="W233" s="842">
        <v>1</v>
      </c>
      <c r="X233" s="885"/>
      <c r="Y233" s="884" t="s">
        <v>1571</v>
      </c>
    </row>
    <row r="234" spans="2:25" x14ac:dyDescent="0.25">
      <c r="B234" s="2021"/>
      <c r="C234" s="674"/>
      <c r="D234" s="674"/>
      <c r="E234" s="674"/>
      <c r="F234" s="674"/>
      <c r="G234" s="2019"/>
      <c r="H234" s="890" t="s">
        <v>2102</v>
      </c>
      <c r="I234" s="165" t="s">
        <v>75</v>
      </c>
      <c r="J234" s="706">
        <v>3</v>
      </c>
      <c r="K234" s="706">
        <v>1</v>
      </c>
      <c r="L234" s="168">
        <v>16900</v>
      </c>
      <c r="M234" s="706">
        <v>2</v>
      </c>
      <c r="N234" s="164">
        <v>10000</v>
      </c>
      <c r="O234" s="706">
        <v>0</v>
      </c>
      <c r="P234" s="164">
        <v>0</v>
      </c>
      <c r="Q234" s="706">
        <v>2</v>
      </c>
      <c r="R234" s="164">
        <v>10000</v>
      </c>
      <c r="S234" s="706">
        <v>0</v>
      </c>
      <c r="T234" s="164">
        <v>0</v>
      </c>
      <c r="U234" s="706">
        <v>0</v>
      </c>
      <c r="V234" s="164">
        <v>0</v>
      </c>
      <c r="W234" s="842">
        <v>5</v>
      </c>
      <c r="X234" s="885"/>
      <c r="Y234" s="884" t="s">
        <v>1571</v>
      </c>
    </row>
    <row r="235" spans="2:25" x14ac:dyDescent="0.25">
      <c r="B235" s="2021"/>
      <c r="C235" s="674"/>
      <c r="D235" s="674"/>
      <c r="E235" s="674"/>
      <c r="F235" s="674"/>
      <c r="G235" s="2019"/>
      <c r="H235" s="890" t="s">
        <v>154</v>
      </c>
      <c r="I235" s="165" t="s">
        <v>75</v>
      </c>
      <c r="J235" s="706">
        <v>5</v>
      </c>
      <c r="K235" s="706">
        <v>4</v>
      </c>
      <c r="L235" s="168">
        <v>27600</v>
      </c>
      <c r="M235" s="706">
        <v>5</v>
      </c>
      <c r="N235" s="164">
        <v>30000</v>
      </c>
      <c r="O235" s="706">
        <v>0</v>
      </c>
      <c r="P235" s="164">
        <v>0</v>
      </c>
      <c r="Q235" s="706">
        <v>4</v>
      </c>
      <c r="R235" s="164">
        <v>24000</v>
      </c>
      <c r="S235" s="706">
        <v>0</v>
      </c>
      <c r="T235" s="164">
        <v>0</v>
      </c>
      <c r="U235" s="706">
        <v>0</v>
      </c>
      <c r="V235" s="164">
        <v>0</v>
      </c>
      <c r="W235" s="842">
        <v>13</v>
      </c>
      <c r="X235" s="885"/>
      <c r="Y235" s="884" t="s">
        <v>1571</v>
      </c>
    </row>
    <row r="236" spans="2:25" x14ac:dyDescent="0.25">
      <c r="B236" s="2021"/>
      <c r="C236" s="674"/>
      <c r="D236" s="674"/>
      <c r="E236" s="674"/>
      <c r="F236" s="674"/>
      <c r="G236" s="2019"/>
      <c r="H236" s="890" t="s">
        <v>2103</v>
      </c>
      <c r="I236" s="165" t="s">
        <v>75</v>
      </c>
      <c r="J236" s="706">
        <v>21</v>
      </c>
      <c r="K236" s="706">
        <v>10</v>
      </c>
      <c r="L236" s="168">
        <v>23000</v>
      </c>
      <c r="M236" s="706">
        <v>0</v>
      </c>
      <c r="N236" s="164">
        <v>0</v>
      </c>
      <c r="O236" s="706">
        <v>0</v>
      </c>
      <c r="P236" s="164">
        <v>0</v>
      </c>
      <c r="Q236" s="706">
        <v>0</v>
      </c>
      <c r="R236" s="164">
        <v>0</v>
      </c>
      <c r="S236" s="706">
        <v>5</v>
      </c>
      <c r="T236" s="164">
        <v>0</v>
      </c>
      <c r="U236" s="706">
        <v>0</v>
      </c>
      <c r="V236" s="164">
        <v>0</v>
      </c>
      <c r="W236" s="842">
        <v>15</v>
      </c>
      <c r="X236" s="885"/>
      <c r="Y236" s="884" t="s">
        <v>1571</v>
      </c>
    </row>
    <row r="237" spans="2:25" x14ac:dyDescent="0.25">
      <c r="B237" s="2021"/>
      <c r="C237" s="674"/>
      <c r="D237" s="674"/>
      <c r="E237" s="674"/>
      <c r="F237" s="674"/>
      <c r="G237" s="2019"/>
      <c r="H237" s="890" t="s">
        <v>2104</v>
      </c>
      <c r="I237" s="165" t="s">
        <v>75</v>
      </c>
      <c r="J237" s="706">
        <v>16</v>
      </c>
      <c r="K237" s="706">
        <v>12</v>
      </c>
      <c r="L237" s="168">
        <v>68400</v>
      </c>
      <c r="M237" s="706">
        <v>0</v>
      </c>
      <c r="N237" s="164">
        <v>0</v>
      </c>
      <c r="O237" s="706">
        <v>0</v>
      </c>
      <c r="P237" s="164">
        <v>0</v>
      </c>
      <c r="Q237" s="706">
        <v>0</v>
      </c>
      <c r="R237" s="164">
        <v>0</v>
      </c>
      <c r="S237" s="706">
        <v>5</v>
      </c>
      <c r="T237" s="164">
        <v>0</v>
      </c>
      <c r="U237" s="706">
        <v>0</v>
      </c>
      <c r="V237" s="164">
        <v>0</v>
      </c>
      <c r="W237" s="842">
        <v>17</v>
      </c>
      <c r="X237" s="885"/>
      <c r="Y237" s="884" t="s">
        <v>1571</v>
      </c>
    </row>
    <row r="238" spans="2:25" ht="25.5" x14ac:dyDescent="0.25">
      <c r="B238" s="2021"/>
      <c r="C238" s="674"/>
      <c r="D238" s="674"/>
      <c r="E238" s="674"/>
      <c r="F238" s="674"/>
      <c r="G238" s="2019"/>
      <c r="H238" s="890" t="s">
        <v>2105</v>
      </c>
      <c r="I238" s="165" t="s">
        <v>75</v>
      </c>
      <c r="J238" s="706">
        <v>0</v>
      </c>
      <c r="K238" s="706">
        <v>1</v>
      </c>
      <c r="L238" s="168">
        <v>3800</v>
      </c>
      <c r="M238" s="706">
        <v>3</v>
      </c>
      <c r="N238" s="164">
        <v>12000</v>
      </c>
      <c r="O238" s="706">
        <v>0</v>
      </c>
      <c r="P238" s="164">
        <v>0</v>
      </c>
      <c r="Q238" s="706">
        <v>2</v>
      </c>
      <c r="R238" s="164">
        <v>6000</v>
      </c>
      <c r="S238" s="706">
        <v>0</v>
      </c>
      <c r="T238" s="164">
        <v>0</v>
      </c>
      <c r="U238" s="706">
        <v>0</v>
      </c>
      <c r="V238" s="164">
        <v>0</v>
      </c>
      <c r="W238" s="842">
        <v>6</v>
      </c>
      <c r="X238" s="885"/>
      <c r="Y238" s="884" t="s">
        <v>1571</v>
      </c>
    </row>
    <row r="239" spans="2:25" ht="25.5" x14ac:dyDescent="0.25">
      <c r="B239" s="2021"/>
      <c r="C239" s="674"/>
      <c r="D239" s="674"/>
      <c r="E239" s="674"/>
      <c r="F239" s="674"/>
      <c r="G239" s="2019"/>
      <c r="H239" s="890" t="s">
        <v>2106</v>
      </c>
      <c r="I239" s="165" t="s">
        <v>75</v>
      </c>
      <c r="J239" s="706">
        <v>0</v>
      </c>
      <c r="K239" s="706">
        <v>1</v>
      </c>
      <c r="L239" s="168">
        <v>800</v>
      </c>
      <c r="M239" s="706">
        <v>0</v>
      </c>
      <c r="N239" s="164">
        <v>0</v>
      </c>
      <c r="O239" s="706">
        <v>0</v>
      </c>
      <c r="P239" s="164">
        <v>0</v>
      </c>
      <c r="Q239" s="706">
        <v>0</v>
      </c>
      <c r="R239" s="164">
        <v>0</v>
      </c>
      <c r="S239" s="706">
        <v>0</v>
      </c>
      <c r="T239" s="164">
        <v>0</v>
      </c>
      <c r="U239" s="706">
        <v>0</v>
      </c>
      <c r="V239" s="164">
        <v>0</v>
      </c>
      <c r="W239" s="842">
        <v>1</v>
      </c>
      <c r="X239" s="885"/>
      <c r="Y239" s="884" t="s">
        <v>1571</v>
      </c>
    </row>
    <row r="240" spans="2:25" x14ac:dyDescent="0.25">
      <c r="B240" s="2021"/>
      <c r="C240" s="674"/>
      <c r="D240" s="674"/>
      <c r="E240" s="674"/>
      <c r="F240" s="674"/>
      <c r="G240" s="2019"/>
      <c r="H240" s="890" t="s">
        <v>2107</v>
      </c>
      <c r="I240" s="165" t="s">
        <v>75</v>
      </c>
      <c r="J240" s="706">
        <v>1</v>
      </c>
      <c r="K240" s="706">
        <v>2</v>
      </c>
      <c r="L240" s="168">
        <v>16000</v>
      </c>
      <c r="M240" s="706">
        <v>0</v>
      </c>
      <c r="N240" s="164">
        <v>0</v>
      </c>
      <c r="O240" s="706">
        <v>0</v>
      </c>
      <c r="P240" s="164">
        <v>0</v>
      </c>
      <c r="Q240" s="706">
        <v>0</v>
      </c>
      <c r="R240" s="164">
        <v>0</v>
      </c>
      <c r="S240" s="706">
        <v>0</v>
      </c>
      <c r="T240" s="164">
        <v>0</v>
      </c>
      <c r="U240" s="706">
        <v>0</v>
      </c>
      <c r="V240" s="164">
        <v>0</v>
      </c>
      <c r="W240" s="842">
        <v>2</v>
      </c>
      <c r="X240" s="885"/>
      <c r="Y240" s="884" t="s">
        <v>1571</v>
      </c>
    </row>
    <row r="241" spans="2:25" ht="25.5" x14ac:dyDescent="0.25">
      <c r="B241" s="2021"/>
      <c r="C241" s="674"/>
      <c r="D241" s="674"/>
      <c r="E241" s="674"/>
      <c r="F241" s="674"/>
      <c r="G241" s="2019"/>
      <c r="H241" s="890" t="s">
        <v>2108</v>
      </c>
      <c r="I241" s="165" t="s">
        <v>2109</v>
      </c>
      <c r="J241" s="706">
        <v>13500</v>
      </c>
      <c r="K241" s="706">
        <v>0</v>
      </c>
      <c r="L241" s="168">
        <v>0</v>
      </c>
      <c r="M241" s="706">
        <v>13500</v>
      </c>
      <c r="N241" s="164">
        <v>25000</v>
      </c>
      <c r="O241" s="706">
        <v>0</v>
      </c>
      <c r="P241" s="164">
        <v>0</v>
      </c>
      <c r="Q241" s="706">
        <v>0</v>
      </c>
      <c r="R241" s="164">
        <v>0</v>
      </c>
      <c r="S241" s="706">
        <v>10000</v>
      </c>
      <c r="T241" s="164">
        <v>20000</v>
      </c>
      <c r="U241" s="706">
        <v>0</v>
      </c>
      <c r="V241" s="164">
        <v>0</v>
      </c>
      <c r="W241" s="842">
        <v>23500</v>
      </c>
      <c r="X241" s="885"/>
      <c r="Y241" s="884" t="s">
        <v>1571</v>
      </c>
    </row>
    <row r="242" spans="2:25" ht="51" x14ac:dyDescent="0.25">
      <c r="B242" s="2021"/>
      <c r="C242" s="674"/>
      <c r="D242" s="674"/>
      <c r="E242" s="674"/>
      <c r="F242" s="674"/>
      <c r="G242" s="173" t="s">
        <v>2110</v>
      </c>
      <c r="H242" s="173" t="s">
        <v>2111</v>
      </c>
      <c r="I242" s="165" t="s">
        <v>19</v>
      </c>
      <c r="J242" s="706">
        <v>100</v>
      </c>
      <c r="K242" s="706">
        <v>1</v>
      </c>
      <c r="L242" s="168">
        <v>75000</v>
      </c>
      <c r="M242" s="706">
        <v>1</v>
      </c>
      <c r="N242" s="164">
        <v>200000</v>
      </c>
      <c r="O242" s="706">
        <v>1</v>
      </c>
      <c r="P242" s="164">
        <v>200000</v>
      </c>
      <c r="Q242" s="706">
        <v>1</v>
      </c>
      <c r="R242" s="164">
        <v>250000</v>
      </c>
      <c r="S242" s="706">
        <v>1</v>
      </c>
      <c r="T242" s="164">
        <v>250000</v>
      </c>
      <c r="U242" s="706">
        <v>1</v>
      </c>
      <c r="V242" s="164">
        <v>250000</v>
      </c>
      <c r="W242" s="842">
        <v>5</v>
      </c>
      <c r="X242" s="885"/>
      <c r="Y242" s="884" t="s">
        <v>1571</v>
      </c>
    </row>
    <row r="243" spans="2:25" ht="96" x14ac:dyDescent="0.25">
      <c r="B243" s="2021"/>
      <c r="C243" s="674"/>
      <c r="D243" s="674"/>
      <c r="E243" s="674"/>
      <c r="F243" s="170"/>
      <c r="G243" s="685" t="s">
        <v>3191</v>
      </c>
      <c r="H243" s="685" t="s">
        <v>3215</v>
      </c>
      <c r="I243" s="686" t="s">
        <v>79</v>
      </c>
      <c r="J243" s="707">
        <v>56</v>
      </c>
      <c r="K243" s="836">
        <v>7</v>
      </c>
      <c r="L243" s="708">
        <f>SUM(L244:L245)</f>
        <v>60000</v>
      </c>
      <c r="M243" s="836">
        <v>6</v>
      </c>
      <c r="N243" s="708">
        <f>SUM(N244:N245)</f>
        <v>100000</v>
      </c>
      <c r="O243" s="836">
        <v>6</v>
      </c>
      <c r="P243" s="708">
        <f>SUM(P244:P245)</f>
        <v>105000</v>
      </c>
      <c r="Q243" s="836">
        <v>6</v>
      </c>
      <c r="R243" s="708">
        <f>SUM(R244:R245)</f>
        <v>130000</v>
      </c>
      <c r="S243" s="836">
        <v>6</v>
      </c>
      <c r="T243" s="708">
        <f>SUM(T244:T245)</f>
        <v>140000</v>
      </c>
      <c r="U243" s="836">
        <v>7</v>
      </c>
      <c r="V243" s="708">
        <f>SUM(V244:V245)</f>
        <v>185000</v>
      </c>
      <c r="W243" s="835">
        <v>31</v>
      </c>
      <c r="X243" s="221"/>
      <c r="Y243" s="884" t="s">
        <v>1571</v>
      </c>
    </row>
    <row r="244" spans="2:25" ht="51" x14ac:dyDescent="0.25">
      <c r="B244" s="2021"/>
      <c r="C244" s="674"/>
      <c r="D244" s="674"/>
      <c r="E244" s="674"/>
      <c r="F244" s="674"/>
      <c r="G244" s="173" t="s">
        <v>2112</v>
      </c>
      <c r="H244" s="173" t="s">
        <v>2113</v>
      </c>
      <c r="I244" s="165" t="s">
        <v>257</v>
      </c>
      <c r="J244" s="706">
        <v>1</v>
      </c>
      <c r="K244" s="706">
        <v>1</v>
      </c>
      <c r="L244" s="168">
        <v>30000</v>
      </c>
      <c r="M244" s="706">
        <v>1</v>
      </c>
      <c r="N244" s="164">
        <v>30000</v>
      </c>
      <c r="O244" s="706">
        <v>1</v>
      </c>
      <c r="P244" s="164">
        <v>35000</v>
      </c>
      <c r="Q244" s="706">
        <v>1</v>
      </c>
      <c r="R244" s="164">
        <v>35000</v>
      </c>
      <c r="S244" s="706">
        <v>1</v>
      </c>
      <c r="T244" s="164">
        <v>40000</v>
      </c>
      <c r="U244" s="706">
        <v>1</v>
      </c>
      <c r="V244" s="164">
        <v>40000</v>
      </c>
      <c r="W244" s="842">
        <v>5</v>
      </c>
      <c r="X244" s="885"/>
      <c r="Y244" s="884" t="s">
        <v>1571</v>
      </c>
    </row>
    <row r="245" spans="2:25" ht="102" x14ac:dyDescent="0.25">
      <c r="B245" s="2021"/>
      <c r="C245" s="674"/>
      <c r="D245" s="674"/>
      <c r="E245" s="674"/>
      <c r="F245" s="674"/>
      <c r="G245" s="173" t="s">
        <v>2114</v>
      </c>
      <c r="H245" s="173" t="s">
        <v>2115</v>
      </c>
      <c r="I245" s="165" t="s">
        <v>257</v>
      </c>
      <c r="J245" s="706">
        <v>6</v>
      </c>
      <c r="K245" s="706">
        <v>6</v>
      </c>
      <c r="L245" s="168">
        <v>30000</v>
      </c>
      <c r="M245" s="706">
        <v>5</v>
      </c>
      <c r="N245" s="164">
        <v>70000</v>
      </c>
      <c r="O245" s="706">
        <v>5</v>
      </c>
      <c r="P245" s="164">
        <v>70000</v>
      </c>
      <c r="Q245" s="706">
        <v>5</v>
      </c>
      <c r="R245" s="164">
        <v>95000</v>
      </c>
      <c r="S245" s="706">
        <v>5</v>
      </c>
      <c r="T245" s="164">
        <v>100000</v>
      </c>
      <c r="U245" s="706">
        <v>6</v>
      </c>
      <c r="V245" s="164">
        <v>145000</v>
      </c>
      <c r="W245" s="842">
        <v>26</v>
      </c>
      <c r="X245" s="885"/>
      <c r="Y245" s="884" t="s">
        <v>1571</v>
      </c>
    </row>
    <row r="246" spans="2:25" ht="48" x14ac:dyDescent="0.25">
      <c r="B246" s="2021"/>
      <c r="C246" s="674"/>
      <c r="D246" s="674"/>
      <c r="E246" s="674"/>
      <c r="F246" s="170"/>
      <c r="G246" s="685" t="s">
        <v>1650</v>
      </c>
      <c r="H246" s="14" t="s">
        <v>758</v>
      </c>
      <c r="I246" s="686" t="s">
        <v>257</v>
      </c>
      <c r="J246" s="707">
        <v>10</v>
      </c>
      <c r="K246" s="707">
        <v>2</v>
      </c>
      <c r="L246" s="708">
        <f>SUM(L247)</f>
        <v>50000</v>
      </c>
      <c r="M246" s="707">
        <v>2</v>
      </c>
      <c r="N246" s="708">
        <f>SUM(N247)</f>
        <v>100000</v>
      </c>
      <c r="O246" s="707">
        <v>2</v>
      </c>
      <c r="P246" s="708">
        <f>SUM(P247)</f>
        <v>100000</v>
      </c>
      <c r="Q246" s="707">
        <v>2</v>
      </c>
      <c r="R246" s="708">
        <f>SUM(R247)</f>
        <v>100000</v>
      </c>
      <c r="S246" s="707">
        <v>2</v>
      </c>
      <c r="T246" s="708">
        <f>SUM(T247)</f>
        <v>100000</v>
      </c>
      <c r="U246" s="707">
        <v>2</v>
      </c>
      <c r="V246" s="708">
        <f>SUM(V247)</f>
        <v>100000</v>
      </c>
      <c r="W246" s="835">
        <v>10</v>
      </c>
      <c r="X246" s="221"/>
      <c r="Y246" s="884" t="s">
        <v>1571</v>
      </c>
    </row>
    <row r="247" spans="2:25" ht="51" x14ac:dyDescent="0.25">
      <c r="B247" s="2021"/>
      <c r="C247" s="675"/>
      <c r="D247" s="675"/>
      <c r="E247" s="675"/>
      <c r="F247" s="675"/>
      <c r="G247" s="173" t="s">
        <v>2116</v>
      </c>
      <c r="H247" s="173" t="s">
        <v>2117</v>
      </c>
      <c r="I247" s="165" t="s">
        <v>257</v>
      </c>
      <c r="J247" s="706">
        <v>10</v>
      </c>
      <c r="K247" s="706">
        <v>2</v>
      </c>
      <c r="L247" s="168">
        <v>50000</v>
      </c>
      <c r="M247" s="706">
        <v>2</v>
      </c>
      <c r="N247" s="164">
        <v>100000</v>
      </c>
      <c r="O247" s="706">
        <v>2</v>
      </c>
      <c r="P247" s="164">
        <v>100000</v>
      </c>
      <c r="Q247" s="706">
        <v>2</v>
      </c>
      <c r="R247" s="164">
        <v>100000</v>
      </c>
      <c r="S247" s="706">
        <v>2</v>
      </c>
      <c r="T247" s="164">
        <v>100000</v>
      </c>
      <c r="U247" s="706">
        <v>2</v>
      </c>
      <c r="V247" s="164">
        <v>100000</v>
      </c>
      <c r="W247" s="842">
        <v>10</v>
      </c>
      <c r="X247" s="885"/>
      <c r="Y247" s="884" t="s">
        <v>1571</v>
      </c>
    </row>
    <row r="248" spans="2:25" ht="13.5" thickBot="1" x14ac:dyDescent="0.3">
      <c r="B248" s="2025" t="s">
        <v>3192</v>
      </c>
      <c r="C248" s="2026"/>
      <c r="D248" s="2026"/>
      <c r="E248" s="2026"/>
      <c r="F248" s="2027"/>
      <c r="G248" s="892"/>
      <c r="H248" s="892"/>
      <c r="I248" s="893"/>
      <c r="J248" s="894"/>
      <c r="K248" s="894"/>
      <c r="L248" s="951">
        <f>SUM(L163:L247)/2</f>
        <v>49696300</v>
      </c>
      <c r="M248" s="894"/>
      <c r="N248" s="951">
        <f>SUM(N163:N247)/2</f>
        <v>93006100</v>
      </c>
      <c r="O248" s="894"/>
      <c r="P248" s="951">
        <f>SUM(P163:P247)/2</f>
        <v>85301500</v>
      </c>
      <c r="Q248" s="894"/>
      <c r="R248" s="951">
        <f>SUM(R163:R247)/2</f>
        <v>88280450</v>
      </c>
      <c r="S248" s="894"/>
      <c r="T248" s="951">
        <f>SUM(T163:T247)/2</f>
        <v>90449005</v>
      </c>
      <c r="U248" s="894"/>
      <c r="V248" s="951">
        <f>SUM(V163:V247)/2</f>
        <v>84955500</v>
      </c>
      <c r="W248" s="895"/>
      <c r="X248" s="892"/>
      <c r="Y248" s="896"/>
    </row>
    <row r="249" spans="2:25" ht="13.5" thickTop="1" x14ac:dyDescent="0.25">
      <c r="L249" s="950"/>
    </row>
    <row r="250" spans="2:25" ht="13.5" thickBot="1" x14ac:dyDescent="0.3">
      <c r="B250" s="219" t="s">
        <v>1561</v>
      </c>
      <c r="C250" s="1794"/>
    </row>
    <row r="251" spans="2:25" s="219" customFormat="1" thickTop="1" x14ac:dyDescent="0.2">
      <c r="B251" s="1932" t="s">
        <v>1</v>
      </c>
      <c r="C251" s="1934" t="s">
        <v>2</v>
      </c>
      <c r="D251" s="1934" t="s">
        <v>3</v>
      </c>
      <c r="E251" s="1934" t="s">
        <v>4</v>
      </c>
      <c r="F251" s="1934" t="s">
        <v>5</v>
      </c>
      <c r="G251" s="1934" t="s">
        <v>6</v>
      </c>
      <c r="H251" s="1934" t="s">
        <v>1854</v>
      </c>
      <c r="I251" s="1934" t="s">
        <v>31</v>
      </c>
      <c r="J251" s="1936" t="s">
        <v>1855</v>
      </c>
      <c r="K251" s="1934" t="s">
        <v>7</v>
      </c>
      <c r="L251" s="1934"/>
      <c r="M251" s="1934"/>
      <c r="N251" s="1934"/>
      <c r="O251" s="1934"/>
      <c r="P251" s="1934"/>
      <c r="Q251" s="1934"/>
      <c r="R251" s="1934"/>
      <c r="S251" s="1934"/>
      <c r="T251" s="1934"/>
      <c r="U251" s="1934"/>
      <c r="V251" s="1934"/>
      <c r="W251" s="1934"/>
      <c r="X251" s="1934" t="s">
        <v>8</v>
      </c>
      <c r="Y251" s="1938" t="s">
        <v>1856</v>
      </c>
    </row>
    <row r="252" spans="2:25" s="219" customFormat="1" ht="12" x14ac:dyDescent="0.2">
      <c r="B252" s="1933"/>
      <c r="C252" s="1935"/>
      <c r="D252" s="1935"/>
      <c r="E252" s="1935"/>
      <c r="F252" s="1935"/>
      <c r="G252" s="1935"/>
      <c r="H252" s="1935"/>
      <c r="I252" s="1935"/>
      <c r="J252" s="1937"/>
      <c r="K252" s="1935">
        <v>2016</v>
      </c>
      <c r="L252" s="1935"/>
      <c r="M252" s="1935">
        <v>2017</v>
      </c>
      <c r="N252" s="1935"/>
      <c r="O252" s="1935">
        <v>2018</v>
      </c>
      <c r="P252" s="1935"/>
      <c r="Q252" s="1935">
        <v>2019</v>
      </c>
      <c r="R252" s="1935"/>
      <c r="S252" s="1935">
        <v>2020</v>
      </c>
      <c r="T252" s="1935"/>
      <c r="U252" s="1935">
        <v>2021</v>
      </c>
      <c r="V252" s="1935"/>
      <c r="W252" s="1940" t="s">
        <v>1857</v>
      </c>
      <c r="X252" s="1935"/>
      <c r="Y252" s="1939"/>
    </row>
    <row r="253" spans="2:25" s="219" customFormat="1" ht="12" x14ac:dyDescent="0.2">
      <c r="B253" s="1933"/>
      <c r="C253" s="1935"/>
      <c r="D253" s="1935"/>
      <c r="E253" s="1935"/>
      <c r="F253" s="1935"/>
      <c r="G253" s="1935"/>
      <c r="H253" s="1935"/>
      <c r="I253" s="1935"/>
      <c r="J253" s="1937"/>
      <c r="K253" s="707" t="s">
        <v>1858</v>
      </c>
      <c r="L253" s="1889" t="s">
        <v>1355</v>
      </c>
      <c r="M253" s="844" t="s">
        <v>1858</v>
      </c>
      <c r="N253" s="1889" t="s">
        <v>1355</v>
      </c>
      <c r="O253" s="844" t="s">
        <v>1858</v>
      </c>
      <c r="P253" s="1889" t="s">
        <v>1355</v>
      </c>
      <c r="Q253" s="844" t="s">
        <v>1858</v>
      </c>
      <c r="R253" s="1889" t="s">
        <v>1355</v>
      </c>
      <c r="S253" s="844" t="s">
        <v>1858</v>
      </c>
      <c r="T253" s="1889" t="s">
        <v>1355</v>
      </c>
      <c r="U253" s="844" t="s">
        <v>1858</v>
      </c>
      <c r="V253" s="1889" t="s">
        <v>1355</v>
      </c>
      <c r="W253" s="1940"/>
      <c r="X253" s="1935"/>
      <c r="Y253" s="1939"/>
    </row>
    <row r="254" spans="2:25" s="219" customFormat="1" ht="180" x14ac:dyDescent="0.2">
      <c r="B254" s="2022" t="s">
        <v>1357</v>
      </c>
      <c r="C254" s="172" t="s">
        <v>4014</v>
      </c>
      <c r="D254" s="1801" t="s">
        <v>4012</v>
      </c>
      <c r="E254" s="1801" t="s">
        <v>4010</v>
      </c>
      <c r="F254" s="172" t="s">
        <v>1560</v>
      </c>
      <c r="G254" s="976" t="s">
        <v>4011</v>
      </c>
      <c r="H254" s="172"/>
      <c r="I254" s="710" t="s">
        <v>19</v>
      </c>
      <c r="J254" s="711">
        <v>30.314244698441502</v>
      </c>
      <c r="K254" s="711">
        <v>38.56989247311828</v>
      </c>
      <c r="L254" s="712"/>
      <c r="M254" s="711">
        <v>45.72043010752688</v>
      </c>
      <c r="N254" s="712"/>
      <c r="O254" s="711">
        <v>54.333333333333336</v>
      </c>
      <c r="P254" s="712"/>
      <c r="Q254" s="711">
        <v>63.655913978494624</v>
      </c>
      <c r="R254" s="712"/>
      <c r="S254" s="711">
        <v>72.956989247311824</v>
      </c>
      <c r="T254" s="712"/>
      <c r="U254" s="711">
        <v>83.333333333333329</v>
      </c>
      <c r="V254" s="712"/>
      <c r="W254" s="713">
        <v>83.33</v>
      </c>
      <c r="X254" s="218"/>
      <c r="Y254" s="715" t="s">
        <v>1561</v>
      </c>
    </row>
    <row r="255" spans="2:25" ht="48" x14ac:dyDescent="0.25">
      <c r="B255" s="2023"/>
      <c r="C255" s="1198"/>
      <c r="D255" s="1198"/>
      <c r="E255" s="1198"/>
      <c r="F255" s="716"/>
      <c r="G255" s="709" t="s">
        <v>1562</v>
      </c>
      <c r="H255" s="709" t="s">
        <v>1560</v>
      </c>
      <c r="I255" s="710" t="s">
        <v>19</v>
      </c>
      <c r="J255" s="711">
        <v>30.314244698441502</v>
      </c>
      <c r="K255" s="711">
        <v>38.56989247311828</v>
      </c>
      <c r="L255" s="712">
        <f>SUM(L256:L259)</f>
        <v>442590</v>
      </c>
      <c r="M255" s="711">
        <v>45.72043010752688</v>
      </c>
      <c r="N255" s="712">
        <f>SUM(N256:N259)</f>
        <v>350000</v>
      </c>
      <c r="O255" s="711">
        <v>54.333333333333336</v>
      </c>
      <c r="P255" s="712">
        <f>SUM(P256:P259)</f>
        <v>455000</v>
      </c>
      <c r="Q255" s="711">
        <v>63.655913978494624</v>
      </c>
      <c r="R255" s="712">
        <f>SUM(R256:R259)</f>
        <v>500000</v>
      </c>
      <c r="S255" s="711">
        <v>72.956989247311824</v>
      </c>
      <c r="T255" s="712">
        <f>SUM(T256:T259)</f>
        <v>565000</v>
      </c>
      <c r="U255" s="711">
        <v>83.333333333333329</v>
      </c>
      <c r="V255" s="712">
        <f>SUM(V256:V259)</f>
        <v>615000</v>
      </c>
      <c r="W255" s="713">
        <v>73</v>
      </c>
      <c r="X255" s="714"/>
      <c r="Y255" s="715" t="s">
        <v>1561</v>
      </c>
    </row>
    <row r="256" spans="2:25" ht="51" x14ac:dyDescent="0.25">
      <c r="B256" s="2023"/>
      <c r="C256" s="1198"/>
      <c r="D256" s="1198"/>
      <c r="E256" s="1198"/>
      <c r="F256" s="720"/>
      <c r="G256" s="721" t="s">
        <v>2119</v>
      </c>
      <c r="H256" s="722" t="s">
        <v>2120</v>
      </c>
      <c r="I256" s="723" t="s">
        <v>75</v>
      </c>
      <c r="J256" s="724"/>
      <c r="K256" s="724">
        <v>9</v>
      </c>
      <c r="L256" s="725">
        <v>65000</v>
      </c>
      <c r="M256" s="724">
        <v>12</v>
      </c>
      <c r="N256" s="726">
        <v>65000</v>
      </c>
      <c r="O256" s="724">
        <v>12</v>
      </c>
      <c r="P256" s="726">
        <v>75000</v>
      </c>
      <c r="Q256" s="724">
        <v>12</v>
      </c>
      <c r="R256" s="726">
        <v>80000</v>
      </c>
      <c r="S256" s="724">
        <v>12</v>
      </c>
      <c r="T256" s="726">
        <v>85000</v>
      </c>
      <c r="U256" s="724">
        <v>12</v>
      </c>
      <c r="V256" s="726">
        <v>85000</v>
      </c>
      <c r="W256" s="719">
        <v>57</v>
      </c>
      <c r="X256" s="726"/>
      <c r="Y256" s="715" t="s">
        <v>1561</v>
      </c>
    </row>
    <row r="257" spans="2:25" ht="25.5" x14ac:dyDescent="0.25">
      <c r="B257" s="2023"/>
      <c r="C257" s="1198"/>
      <c r="D257" s="1198"/>
      <c r="E257" s="1198"/>
      <c r="F257" s="720"/>
      <c r="G257" s="721" t="s">
        <v>2121</v>
      </c>
      <c r="H257" s="722" t="s">
        <v>2122</v>
      </c>
      <c r="I257" s="723" t="s">
        <v>75</v>
      </c>
      <c r="J257" s="724"/>
      <c r="K257" s="724">
        <v>3</v>
      </c>
      <c r="L257" s="725">
        <v>125000</v>
      </c>
      <c r="M257" s="724">
        <v>1</v>
      </c>
      <c r="N257" s="726">
        <v>125000</v>
      </c>
      <c r="O257" s="724">
        <v>1</v>
      </c>
      <c r="P257" s="726">
        <v>160000</v>
      </c>
      <c r="Q257" s="724">
        <v>1</v>
      </c>
      <c r="R257" s="726">
        <v>170000</v>
      </c>
      <c r="S257" s="724">
        <v>1</v>
      </c>
      <c r="T257" s="726">
        <v>180000</v>
      </c>
      <c r="U257" s="724">
        <v>1</v>
      </c>
      <c r="V257" s="726">
        <v>180000</v>
      </c>
      <c r="W257" s="719">
        <v>7</v>
      </c>
      <c r="X257" s="726"/>
      <c r="Y257" s="715" t="s">
        <v>1561</v>
      </c>
    </row>
    <row r="258" spans="2:25" ht="63.75" x14ac:dyDescent="0.25">
      <c r="B258" s="2023"/>
      <c r="C258" s="1198"/>
      <c r="D258" s="1198"/>
      <c r="E258" s="1198"/>
      <c r="F258" s="720"/>
      <c r="G258" s="721" t="s">
        <v>2123</v>
      </c>
      <c r="H258" s="722" t="s">
        <v>2124</v>
      </c>
      <c r="I258" s="723" t="s">
        <v>75</v>
      </c>
      <c r="J258" s="724"/>
      <c r="K258" s="724">
        <v>1</v>
      </c>
      <c r="L258" s="725">
        <v>92590</v>
      </c>
      <c r="M258" s="724"/>
      <c r="N258" s="726">
        <v>0</v>
      </c>
      <c r="O258" s="724"/>
      <c r="P258" s="726"/>
      <c r="Q258" s="724"/>
      <c r="R258" s="726"/>
      <c r="S258" s="724"/>
      <c r="T258" s="726"/>
      <c r="U258" s="724"/>
      <c r="V258" s="726"/>
      <c r="W258" s="719">
        <v>1</v>
      </c>
      <c r="X258" s="726"/>
      <c r="Y258" s="715" t="s">
        <v>1561</v>
      </c>
    </row>
    <row r="259" spans="2:25" ht="38.25" x14ac:dyDescent="0.25">
      <c r="B259" s="2023"/>
      <c r="C259" s="1198"/>
      <c r="D259" s="1198"/>
      <c r="E259" s="1198"/>
      <c r="F259" s="720"/>
      <c r="G259" s="721" t="s">
        <v>2125</v>
      </c>
      <c r="H259" s="722" t="s">
        <v>2126</v>
      </c>
      <c r="I259" s="723" t="s">
        <v>40</v>
      </c>
      <c r="J259" s="724"/>
      <c r="K259" s="724">
        <v>12</v>
      </c>
      <c r="L259" s="725">
        <v>160000</v>
      </c>
      <c r="M259" s="724">
        <v>12</v>
      </c>
      <c r="N259" s="726">
        <v>160000</v>
      </c>
      <c r="O259" s="724">
        <v>12</v>
      </c>
      <c r="P259" s="726">
        <v>220000</v>
      </c>
      <c r="Q259" s="724">
        <v>12</v>
      </c>
      <c r="R259" s="726">
        <v>250000</v>
      </c>
      <c r="S259" s="724">
        <v>12</v>
      </c>
      <c r="T259" s="726">
        <v>300000</v>
      </c>
      <c r="U259" s="724">
        <v>12</v>
      </c>
      <c r="V259" s="726">
        <v>350000</v>
      </c>
      <c r="W259" s="719">
        <v>60</v>
      </c>
      <c r="X259" s="726"/>
      <c r="Y259" s="715" t="s">
        <v>1561</v>
      </c>
    </row>
    <row r="260" spans="2:25" ht="48" x14ac:dyDescent="0.25">
      <c r="B260" s="2023"/>
      <c r="C260" s="1198"/>
      <c r="D260" s="1198"/>
      <c r="E260" s="1198"/>
      <c r="F260" s="716"/>
      <c r="G260" s="709" t="s">
        <v>1563</v>
      </c>
      <c r="H260" s="709" t="s">
        <v>1560</v>
      </c>
      <c r="I260" s="710" t="s">
        <v>19</v>
      </c>
      <c r="J260" s="711">
        <v>30.314244698441502</v>
      </c>
      <c r="K260" s="711">
        <v>38.56989247311828</v>
      </c>
      <c r="L260" s="712">
        <f>SUM(L261:L272)</f>
        <v>2236885</v>
      </c>
      <c r="M260" s="711">
        <v>45.72043010752688</v>
      </c>
      <c r="N260" s="712">
        <f>SUM(N261:N272)</f>
        <v>4829003</v>
      </c>
      <c r="O260" s="711">
        <v>54.333333333333336</v>
      </c>
      <c r="P260" s="712">
        <f>SUM(P261:P272)</f>
        <v>8810000</v>
      </c>
      <c r="Q260" s="711">
        <v>63.655913978494624</v>
      </c>
      <c r="R260" s="712">
        <f>SUM(R261:R272)</f>
        <v>5595000</v>
      </c>
      <c r="S260" s="711">
        <v>72.956989247311824</v>
      </c>
      <c r="T260" s="712">
        <f>SUM(T261:T272)</f>
        <v>6067000</v>
      </c>
      <c r="U260" s="711">
        <v>83.333333333333329</v>
      </c>
      <c r="V260" s="712">
        <f>SUM(V261:V272)</f>
        <v>6627000</v>
      </c>
      <c r="W260" s="713">
        <v>73</v>
      </c>
      <c r="X260" s="714"/>
      <c r="Y260" s="715" t="s">
        <v>1561</v>
      </c>
    </row>
    <row r="261" spans="2:25" ht="38.25" x14ac:dyDescent="0.25">
      <c r="B261" s="2023"/>
      <c r="C261" s="1198"/>
      <c r="D261" s="1198"/>
      <c r="E261" s="1198"/>
      <c r="F261" s="720"/>
      <c r="G261" s="721" t="s">
        <v>2127</v>
      </c>
      <c r="H261" s="721" t="s">
        <v>2128</v>
      </c>
      <c r="I261" s="723" t="s">
        <v>75</v>
      </c>
      <c r="J261" s="724"/>
      <c r="K261" s="724">
        <v>108</v>
      </c>
      <c r="L261" s="725">
        <v>193066</v>
      </c>
      <c r="M261" s="724">
        <v>200</v>
      </c>
      <c r="N261" s="726">
        <v>359443</v>
      </c>
      <c r="O261" s="724">
        <v>200</v>
      </c>
      <c r="P261" s="726">
        <v>410000</v>
      </c>
      <c r="Q261" s="724">
        <v>200</v>
      </c>
      <c r="R261" s="726">
        <v>430000</v>
      </c>
      <c r="S261" s="724">
        <v>200</v>
      </c>
      <c r="T261" s="726">
        <v>450000</v>
      </c>
      <c r="U261" s="724">
        <v>200</v>
      </c>
      <c r="V261" s="726">
        <v>475000</v>
      </c>
      <c r="W261" s="719">
        <v>908</v>
      </c>
      <c r="X261" s="726"/>
      <c r="Y261" s="715" t="s">
        <v>1561</v>
      </c>
    </row>
    <row r="262" spans="2:25" ht="38.25" x14ac:dyDescent="0.25">
      <c r="B262" s="2023"/>
      <c r="C262" s="1198"/>
      <c r="D262" s="1198"/>
      <c r="E262" s="1198"/>
      <c r="F262" s="720"/>
      <c r="G262" s="721" t="s">
        <v>2129</v>
      </c>
      <c r="H262" s="721" t="s">
        <v>2130</v>
      </c>
      <c r="I262" s="723" t="s">
        <v>2131</v>
      </c>
      <c r="J262" s="724"/>
      <c r="K262" s="727">
        <v>1012</v>
      </c>
      <c r="L262" s="725">
        <v>325099</v>
      </c>
      <c r="M262" s="724">
        <v>2000</v>
      </c>
      <c r="N262" s="726">
        <v>652165</v>
      </c>
      <c r="O262" s="724">
        <v>2000</v>
      </c>
      <c r="P262" s="726">
        <v>700000</v>
      </c>
      <c r="Q262" s="724">
        <v>2000</v>
      </c>
      <c r="R262" s="726">
        <v>750000</v>
      </c>
      <c r="S262" s="724">
        <v>2000</v>
      </c>
      <c r="T262" s="726">
        <v>800000</v>
      </c>
      <c r="U262" s="724">
        <v>2000</v>
      </c>
      <c r="V262" s="726">
        <v>850000</v>
      </c>
      <c r="W262" s="719">
        <v>9012</v>
      </c>
      <c r="X262" s="726"/>
      <c r="Y262" s="715" t="s">
        <v>1561</v>
      </c>
    </row>
    <row r="263" spans="2:25" ht="38.25" x14ac:dyDescent="0.25">
      <c r="B263" s="2023"/>
      <c r="C263" s="1198"/>
      <c r="D263" s="1198"/>
      <c r="E263" s="1198"/>
      <c r="F263" s="720"/>
      <c r="G263" s="721" t="s">
        <v>2132</v>
      </c>
      <c r="H263" s="721" t="s">
        <v>2133</v>
      </c>
      <c r="I263" s="723" t="s">
        <v>660</v>
      </c>
      <c r="J263" s="724"/>
      <c r="K263" s="724">
        <v>120</v>
      </c>
      <c r="L263" s="725">
        <v>200720</v>
      </c>
      <c r="M263" s="724">
        <v>476</v>
      </c>
      <c r="N263" s="726">
        <v>1050000</v>
      </c>
      <c r="O263" s="724">
        <v>350</v>
      </c>
      <c r="P263" s="726">
        <v>710000</v>
      </c>
      <c r="Q263" s="724">
        <v>350</v>
      </c>
      <c r="R263" s="726">
        <v>750000</v>
      </c>
      <c r="S263" s="724">
        <v>350</v>
      </c>
      <c r="T263" s="726">
        <v>775000</v>
      </c>
      <c r="U263" s="724">
        <v>350</v>
      </c>
      <c r="V263" s="726">
        <v>800000</v>
      </c>
      <c r="W263" s="719">
        <v>1646</v>
      </c>
      <c r="X263" s="726"/>
      <c r="Y263" s="715" t="s">
        <v>1561</v>
      </c>
    </row>
    <row r="264" spans="2:25" ht="178.5" x14ac:dyDescent="0.25">
      <c r="B264" s="2023"/>
      <c r="C264" s="1198"/>
      <c r="D264" s="1198"/>
      <c r="E264" s="1198"/>
      <c r="F264" s="720"/>
      <c r="G264" s="721" t="s">
        <v>2134</v>
      </c>
      <c r="H264" s="722" t="s">
        <v>2135</v>
      </c>
      <c r="I264" s="723" t="s">
        <v>275</v>
      </c>
      <c r="J264" s="724"/>
      <c r="K264" s="724">
        <v>4</v>
      </c>
      <c r="L264" s="725">
        <v>145000</v>
      </c>
      <c r="M264" s="724">
        <v>4</v>
      </c>
      <c r="N264" s="726">
        <v>145000</v>
      </c>
      <c r="O264" s="724">
        <v>4</v>
      </c>
      <c r="P264" s="726">
        <v>155000</v>
      </c>
      <c r="Q264" s="724">
        <v>4</v>
      </c>
      <c r="R264" s="726">
        <v>160000</v>
      </c>
      <c r="S264" s="724">
        <v>4</v>
      </c>
      <c r="T264" s="726">
        <v>160000</v>
      </c>
      <c r="U264" s="724">
        <v>4</v>
      </c>
      <c r="V264" s="726">
        <v>160000</v>
      </c>
      <c r="W264" s="719">
        <v>20</v>
      </c>
      <c r="X264" s="726"/>
      <c r="Y264" s="715" t="s">
        <v>1561</v>
      </c>
    </row>
    <row r="265" spans="2:25" ht="38.25" x14ac:dyDescent="0.25">
      <c r="B265" s="2023"/>
      <c r="C265" s="1198"/>
      <c r="D265" s="1198"/>
      <c r="E265" s="1198"/>
      <c r="F265" s="720"/>
      <c r="G265" s="721" t="s">
        <v>2136</v>
      </c>
      <c r="H265" s="721" t="s">
        <v>2137</v>
      </c>
      <c r="I265" s="723" t="s">
        <v>75</v>
      </c>
      <c r="J265" s="724"/>
      <c r="K265" s="724">
        <v>5</v>
      </c>
      <c r="L265" s="725">
        <v>450000</v>
      </c>
      <c r="M265" s="724">
        <v>2</v>
      </c>
      <c r="N265" s="726">
        <v>321115</v>
      </c>
      <c r="O265" s="724">
        <v>3</v>
      </c>
      <c r="P265" s="726">
        <v>3560000</v>
      </c>
      <c r="Q265" s="724">
        <v>3</v>
      </c>
      <c r="R265" s="726">
        <v>555000</v>
      </c>
      <c r="S265" s="724">
        <v>3</v>
      </c>
      <c r="T265" s="726">
        <v>552000</v>
      </c>
      <c r="U265" s="724">
        <v>3</v>
      </c>
      <c r="V265" s="726">
        <v>552000</v>
      </c>
      <c r="W265" s="719">
        <v>16</v>
      </c>
      <c r="X265" s="726"/>
      <c r="Y265" s="715" t="s">
        <v>1561</v>
      </c>
    </row>
    <row r="266" spans="2:25" ht="38.25" x14ac:dyDescent="0.25">
      <c r="B266" s="2023"/>
      <c r="C266" s="1198"/>
      <c r="D266" s="1198"/>
      <c r="E266" s="1198"/>
      <c r="F266" s="720"/>
      <c r="G266" s="721" t="s">
        <v>2138</v>
      </c>
      <c r="H266" s="721" t="s">
        <v>2139</v>
      </c>
      <c r="I266" s="723" t="s">
        <v>40</v>
      </c>
      <c r="J266" s="724"/>
      <c r="K266" s="724">
        <v>12</v>
      </c>
      <c r="L266" s="725">
        <v>70000</v>
      </c>
      <c r="M266" s="724">
        <v>12</v>
      </c>
      <c r="N266" s="726">
        <v>70000</v>
      </c>
      <c r="O266" s="724">
        <v>12</v>
      </c>
      <c r="P266" s="726">
        <v>80000</v>
      </c>
      <c r="Q266" s="724">
        <v>12</v>
      </c>
      <c r="R266" s="726">
        <v>85000</v>
      </c>
      <c r="S266" s="724">
        <v>12</v>
      </c>
      <c r="T266" s="726">
        <v>90000</v>
      </c>
      <c r="U266" s="724">
        <v>12</v>
      </c>
      <c r="V266" s="726">
        <v>90000</v>
      </c>
      <c r="W266" s="719">
        <v>60</v>
      </c>
      <c r="X266" s="726"/>
      <c r="Y266" s="715" t="s">
        <v>1561</v>
      </c>
    </row>
    <row r="267" spans="2:25" ht="63.75" x14ac:dyDescent="0.25">
      <c r="B267" s="2023"/>
      <c r="C267" s="1198"/>
      <c r="D267" s="1198"/>
      <c r="E267" s="1198"/>
      <c r="F267" s="720"/>
      <c r="G267" s="721" t="s">
        <v>2140</v>
      </c>
      <c r="H267" s="722" t="s">
        <v>2141</v>
      </c>
      <c r="I267" s="723" t="s">
        <v>40</v>
      </c>
      <c r="J267" s="724"/>
      <c r="K267" s="724">
        <v>12</v>
      </c>
      <c r="L267" s="725">
        <v>60000</v>
      </c>
      <c r="M267" s="724">
        <v>12</v>
      </c>
      <c r="N267" s="726">
        <v>60000</v>
      </c>
      <c r="O267" s="724">
        <v>12</v>
      </c>
      <c r="P267" s="726">
        <v>70000</v>
      </c>
      <c r="Q267" s="724">
        <v>12</v>
      </c>
      <c r="R267" s="726">
        <v>75000</v>
      </c>
      <c r="S267" s="724">
        <v>12</v>
      </c>
      <c r="T267" s="726">
        <v>80000</v>
      </c>
      <c r="U267" s="724">
        <v>12</v>
      </c>
      <c r="V267" s="726">
        <v>80000</v>
      </c>
      <c r="W267" s="719">
        <v>60</v>
      </c>
      <c r="X267" s="726"/>
      <c r="Y267" s="715" t="s">
        <v>1561</v>
      </c>
    </row>
    <row r="268" spans="2:25" ht="63.75" x14ac:dyDescent="0.25">
      <c r="B268" s="2023"/>
      <c r="C268" s="1198"/>
      <c r="D268" s="1198"/>
      <c r="E268" s="1198"/>
      <c r="F268" s="720"/>
      <c r="G268" s="721" t="s">
        <v>2142</v>
      </c>
      <c r="H268" s="721" t="s">
        <v>2143</v>
      </c>
      <c r="I268" s="723" t="s">
        <v>75</v>
      </c>
      <c r="J268" s="724"/>
      <c r="K268" s="724">
        <v>107</v>
      </c>
      <c r="L268" s="725">
        <v>68000</v>
      </c>
      <c r="M268" s="724">
        <v>110</v>
      </c>
      <c r="N268" s="726">
        <v>70000</v>
      </c>
      <c r="O268" s="724">
        <v>125</v>
      </c>
      <c r="P268" s="726">
        <v>95000</v>
      </c>
      <c r="Q268" s="724">
        <v>130</v>
      </c>
      <c r="R268" s="726">
        <v>100000</v>
      </c>
      <c r="S268" s="724">
        <v>135</v>
      </c>
      <c r="T268" s="726">
        <v>110000</v>
      </c>
      <c r="U268" s="724">
        <v>135</v>
      </c>
      <c r="V268" s="726">
        <v>120000</v>
      </c>
      <c r="W268" s="719">
        <v>607</v>
      </c>
      <c r="X268" s="726"/>
      <c r="Y268" s="715" t="s">
        <v>1561</v>
      </c>
    </row>
    <row r="269" spans="2:25" ht="51" x14ac:dyDescent="0.25">
      <c r="B269" s="2023"/>
      <c r="C269" s="1198"/>
      <c r="D269" s="1198"/>
      <c r="E269" s="1198"/>
      <c r="F269" s="720"/>
      <c r="G269" s="721" t="s">
        <v>2144</v>
      </c>
      <c r="H269" s="722" t="s">
        <v>2145</v>
      </c>
      <c r="I269" s="723" t="s">
        <v>40</v>
      </c>
      <c r="J269" s="724"/>
      <c r="K269" s="724">
        <v>12</v>
      </c>
      <c r="L269" s="725">
        <v>165000</v>
      </c>
      <c r="M269" s="724">
        <v>12</v>
      </c>
      <c r="N269" s="726">
        <v>148000</v>
      </c>
      <c r="O269" s="724">
        <v>12</v>
      </c>
      <c r="P269" s="726">
        <v>180000</v>
      </c>
      <c r="Q269" s="724">
        <v>12</v>
      </c>
      <c r="R269" s="726">
        <v>190000</v>
      </c>
      <c r="S269" s="724">
        <v>12</v>
      </c>
      <c r="T269" s="726">
        <v>200000</v>
      </c>
      <c r="U269" s="724">
        <v>12</v>
      </c>
      <c r="V269" s="726">
        <v>200000</v>
      </c>
      <c r="W269" s="719">
        <v>60</v>
      </c>
      <c r="X269" s="726"/>
      <c r="Y269" s="715" t="s">
        <v>1561</v>
      </c>
    </row>
    <row r="270" spans="2:25" ht="357" x14ac:dyDescent="0.25">
      <c r="B270" s="2023"/>
      <c r="C270" s="1198"/>
      <c r="D270" s="1198"/>
      <c r="E270" s="1198"/>
      <c r="F270" s="720"/>
      <c r="G270" s="721" t="s">
        <v>2146</v>
      </c>
      <c r="H270" s="722" t="s">
        <v>2147</v>
      </c>
      <c r="I270" s="723" t="s">
        <v>2148</v>
      </c>
      <c r="J270" s="724"/>
      <c r="K270" s="724">
        <v>4</v>
      </c>
      <c r="L270" s="725">
        <v>175000</v>
      </c>
      <c r="M270" s="724"/>
      <c r="N270" s="726"/>
      <c r="O270" s="724">
        <v>4</v>
      </c>
      <c r="P270" s="726">
        <v>250000</v>
      </c>
      <c r="Q270" s="724"/>
      <c r="R270" s="726"/>
      <c r="S270" s="724">
        <v>4</v>
      </c>
      <c r="T270" s="726">
        <v>250000</v>
      </c>
      <c r="U270" s="724"/>
      <c r="V270" s="726"/>
      <c r="W270" s="719">
        <v>12</v>
      </c>
      <c r="X270" s="726"/>
      <c r="Y270" s="715" t="s">
        <v>1561</v>
      </c>
    </row>
    <row r="271" spans="2:25" ht="63.75" x14ac:dyDescent="0.25">
      <c r="B271" s="2023"/>
      <c r="C271" s="1198"/>
      <c r="D271" s="1198"/>
      <c r="E271" s="1198"/>
      <c r="F271" s="720"/>
      <c r="G271" s="721" t="s">
        <v>2149</v>
      </c>
      <c r="H271" s="722" t="s">
        <v>2150</v>
      </c>
      <c r="I271" s="723"/>
      <c r="J271" s="724"/>
      <c r="K271" s="724">
        <v>18</v>
      </c>
      <c r="L271" s="725">
        <v>100000</v>
      </c>
      <c r="M271" s="724">
        <v>60</v>
      </c>
      <c r="N271" s="726">
        <v>1229344</v>
      </c>
      <c r="O271" s="724">
        <v>90</v>
      </c>
      <c r="P271" s="726">
        <v>2000000</v>
      </c>
      <c r="Q271" s="724">
        <v>90</v>
      </c>
      <c r="R271" s="726">
        <v>2200000</v>
      </c>
      <c r="S271" s="724">
        <v>90</v>
      </c>
      <c r="T271" s="726">
        <v>2300000</v>
      </c>
      <c r="U271" s="724">
        <v>90</v>
      </c>
      <c r="V271" s="726">
        <v>3000000</v>
      </c>
      <c r="W271" s="719">
        <v>348</v>
      </c>
      <c r="X271" s="726"/>
      <c r="Y271" s="715" t="s">
        <v>1561</v>
      </c>
    </row>
    <row r="272" spans="2:25" ht="89.25" x14ac:dyDescent="0.25">
      <c r="B272" s="2023"/>
      <c r="C272" s="1198"/>
      <c r="D272" s="1198"/>
      <c r="E272" s="1198"/>
      <c r="F272" s="720"/>
      <c r="G272" s="721" t="s">
        <v>2151</v>
      </c>
      <c r="H272" s="722" t="s">
        <v>2152</v>
      </c>
      <c r="I272" s="723"/>
      <c r="J272" s="724"/>
      <c r="K272" s="724">
        <v>3</v>
      </c>
      <c r="L272" s="725">
        <v>285000</v>
      </c>
      <c r="M272" s="724">
        <v>7</v>
      </c>
      <c r="N272" s="726">
        <v>723936</v>
      </c>
      <c r="O272" s="724">
        <v>5</v>
      </c>
      <c r="P272" s="726">
        <v>600000</v>
      </c>
      <c r="Q272" s="724"/>
      <c r="R272" s="726">
        <v>300000</v>
      </c>
      <c r="S272" s="724"/>
      <c r="T272" s="726">
        <v>300000</v>
      </c>
      <c r="U272" s="724"/>
      <c r="V272" s="726">
        <v>300000</v>
      </c>
      <c r="W272" s="719">
        <v>15</v>
      </c>
      <c r="X272" s="726"/>
      <c r="Y272" s="715" t="s">
        <v>1561</v>
      </c>
    </row>
    <row r="273" spans="2:25" ht="48" x14ac:dyDescent="0.25">
      <c r="B273" s="2023"/>
      <c r="C273" s="1198"/>
      <c r="D273" s="1198"/>
      <c r="E273" s="1198"/>
      <c r="F273" s="716"/>
      <c r="G273" s="709" t="s">
        <v>1564</v>
      </c>
      <c r="H273" s="709" t="s">
        <v>1560</v>
      </c>
      <c r="I273" s="710" t="s">
        <v>19</v>
      </c>
      <c r="J273" s="711">
        <v>30.314244698441502</v>
      </c>
      <c r="K273" s="711">
        <v>38.56989247311828</v>
      </c>
      <c r="L273" s="712">
        <f>SUM(L274)</f>
        <v>75000</v>
      </c>
      <c r="M273" s="711">
        <v>45.72043010752688</v>
      </c>
      <c r="N273" s="712">
        <f>SUM(N274)</f>
        <v>0</v>
      </c>
      <c r="O273" s="711">
        <v>54.333333333333336</v>
      </c>
      <c r="P273" s="712">
        <f>SUM(P274)</f>
        <v>0</v>
      </c>
      <c r="Q273" s="711">
        <v>63.655913978494624</v>
      </c>
      <c r="R273" s="712">
        <f>SUM(R274)</f>
        <v>0</v>
      </c>
      <c r="S273" s="711">
        <v>72.956989247311824</v>
      </c>
      <c r="T273" s="712">
        <f>SUM(T274)</f>
        <v>0</v>
      </c>
      <c r="U273" s="711">
        <v>83.333333333333329</v>
      </c>
      <c r="V273" s="712">
        <f>SUM(V274)</f>
        <v>0</v>
      </c>
      <c r="W273" s="713">
        <v>73</v>
      </c>
      <c r="X273" s="714"/>
      <c r="Y273" s="715" t="s">
        <v>1561</v>
      </c>
    </row>
    <row r="274" spans="2:25" ht="51" x14ac:dyDescent="0.25">
      <c r="B274" s="2023"/>
      <c r="C274" s="1198"/>
      <c r="D274" s="1198"/>
      <c r="E274" s="1198"/>
      <c r="F274" s="720"/>
      <c r="G274" s="722" t="s">
        <v>2153</v>
      </c>
      <c r="H274" s="722" t="s">
        <v>2154</v>
      </c>
      <c r="I274" s="723" t="s">
        <v>75</v>
      </c>
      <c r="J274" s="724"/>
      <c r="K274" s="724">
        <v>2</v>
      </c>
      <c r="L274" s="725">
        <v>75000</v>
      </c>
      <c r="M274" s="724"/>
      <c r="N274" s="726"/>
      <c r="O274" s="724"/>
      <c r="P274" s="726"/>
      <c r="Q274" s="724"/>
      <c r="R274" s="726"/>
      <c r="S274" s="724"/>
      <c r="T274" s="726"/>
      <c r="U274" s="724"/>
      <c r="V274" s="726"/>
      <c r="W274" s="719">
        <v>2</v>
      </c>
      <c r="X274" s="726"/>
      <c r="Y274" s="715" t="s">
        <v>1561</v>
      </c>
    </row>
    <row r="275" spans="2:25" ht="48" x14ac:dyDescent="0.25">
      <c r="B275" s="2023"/>
      <c r="C275" s="1198"/>
      <c r="D275" s="1198"/>
      <c r="E275" s="1198"/>
      <c r="F275" s="952"/>
      <c r="G275" s="729" t="s">
        <v>1566</v>
      </c>
      <c r="H275" s="709" t="s">
        <v>1560</v>
      </c>
      <c r="I275" s="710" t="s">
        <v>19</v>
      </c>
      <c r="J275" s="711">
        <v>30.314244698441502</v>
      </c>
      <c r="K275" s="711">
        <v>38.56989247311828</v>
      </c>
      <c r="L275" s="712">
        <f>SUM(L276:L281)</f>
        <v>2260000</v>
      </c>
      <c r="M275" s="711">
        <v>45.72043010752688</v>
      </c>
      <c r="N275" s="712">
        <f>SUM(N276:N281)</f>
        <v>9033000</v>
      </c>
      <c r="O275" s="711">
        <v>54.333333333333336</v>
      </c>
      <c r="P275" s="712">
        <f>SUM(P276:P281)</f>
        <v>19495000</v>
      </c>
      <c r="Q275" s="711">
        <v>63.655913978494624</v>
      </c>
      <c r="R275" s="712">
        <f>SUM(R276:R281)</f>
        <v>10025000</v>
      </c>
      <c r="S275" s="711">
        <v>72.956989247311824</v>
      </c>
      <c r="T275" s="712">
        <f>SUM(T276:T281)</f>
        <v>10550000</v>
      </c>
      <c r="U275" s="711">
        <v>83.333333333333329</v>
      </c>
      <c r="V275" s="712">
        <f>SUM(V276:V281)</f>
        <v>11050000</v>
      </c>
      <c r="W275" s="713">
        <v>73</v>
      </c>
      <c r="X275" s="714"/>
      <c r="Y275" s="715" t="s">
        <v>1561</v>
      </c>
    </row>
    <row r="276" spans="2:25" ht="127.5" x14ac:dyDescent="0.25">
      <c r="B276" s="2023"/>
      <c r="C276" s="1198"/>
      <c r="D276" s="1198"/>
      <c r="E276" s="1198"/>
      <c r="F276" s="720"/>
      <c r="G276" s="721" t="s">
        <v>2157</v>
      </c>
      <c r="H276" s="722" t="s">
        <v>2158</v>
      </c>
      <c r="I276" s="723" t="s">
        <v>40</v>
      </c>
      <c r="J276" s="724">
        <v>12</v>
      </c>
      <c r="K276" s="724">
        <v>12</v>
      </c>
      <c r="L276" s="725">
        <v>75000</v>
      </c>
      <c r="M276" s="724">
        <v>12</v>
      </c>
      <c r="N276" s="726">
        <v>75000</v>
      </c>
      <c r="O276" s="724">
        <v>12</v>
      </c>
      <c r="P276" s="726">
        <v>85000</v>
      </c>
      <c r="Q276" s="724">
        <v>12</v>
      </c>
      <c r="R276" s="726">
        <v>90000</v>
      </c>
      <c r="S276" s="724">
        <v>12</v>
      </c>
      <c r="T276" s="726">
        <v>95000</v>
      </c>
      <c r="U276" s="724">
        <v>12</v>
      </c>
      <c r="V276" s="726">
        <v>95000</v>
      </c>
      <c r="W276" s="728">
        <v>60</v>
      </c>
      <c r="X276" s="726"/>
      <c r="Y276" s="715" t="s">
        <v>1561</v>
      </c>
    </row>
    <row r="277" spans="2:25" ht="38.25" x14ac:dyDescent="0.25">
      <c r="B277" s="2023"/>
      <c r="C277" s="1198"/>
      <c r="D277" s="1198"/>
      <c r="E277" s="1198"/>
      <c r="F277" s="716"/>
      <c r="G277" s="721" t="s">
        <v>2159</v>
      </c>
      <c r="H277" s="722" t="s">
        <v>2160</v>
      </c>
      <c r="I277" s="723" t="s">
        <v>75</v>
      </c>
      <c r="J277" s="724"/>
      <c r="K277" s="724">
        <v>8</v>
      </c>
      <c r="L277" s="725">
        <v>30000</v>
      </c>
      <c r="M277" s="724">
        <v>8</v>
      </c>
      <c r="N277" s="726">
        <v>30000</v>
      </c>
      <c r="O277" s="724">
        <v>8</v>
      </c>
      <c r="P277" s="726">
        <v>50000</v>
      </c>
      <c r="Q277" s="724">
        <v>8</v>
      </c>
      <c r="R277" s="726">
        <v>60000</v>
      </c>
      <c r="S277" s="724">
        <v>8</v>
      </c>
      <c r="T277" s="726">
        <v>70000</v>
      </c>
      <c r="U277" s="724">
        <v>8</v>
      </c>
      <c r="V277" s="726">
        <v>70000</v>
      </c>
      <c r="W277" s="728">
        <v>40</v>
      </c>
      <c r="X277" s="726"/>
      <c r="Y277" s="715" t="s">
        <v>1561</v>
      </c>
    </row>
    <row r="278" spans="2:25" ht="76.5" x14ac:dyDescent="0.25">
      <c r="B278" s="2023"/>
      <c r="C278" s="1198"/>
      <c r="D278" s="1198"/>
      <c r="E278" s="1198"/>
      <c r="F278" s="716"/>
      <c r="G278" s="721" t="s">
        <v>2161</v>
      </c>
      <c r="H278" s="721" t="s">
        <v>2162</v>
      </c>
      <c r="I278" s="723" t="s">
        <v>75</v>
      </c>
      <c r="J278" s="724"/>
      <c r="K278" s="724">
        <v>0</v>
      </c>
      <c r="L278" s="725">
        <v>0</v>
      </c>
      <c r="M278" s="724">
        <v>1</v>
      </c>
      <c r="N278" s="726">
        <v>250000</v>
      </c>
      <c r="O278" s="724">
        <v>1</v>
      </c>
      <c r="P278" s="726">
        <v>10000000</v>
      </c>
      <c r="Q278" s="724">
        <v>0</v>
      </c>
      <c r="R278" s="726">
        <v>0</v>
      </c>
      <c r="S278" s="724">
        <v>0</v>
      </c>
      <c r="T278" s="726">
        <v>0</v>
      </c>
      <c r="U278" s="724">
        <v>0</v>
      </c>
      <c r="V278" s="726">
        <v>0</v>
      </c>
      <c r="W278" s="728">
        <v>2</v>
      </c>
      <c r="X278" s="726"/>
      <c r="Y278" s="715" t="s">
        <v>1561</v>
      </c>
    </row>
    <row r="279" spans="2:25" ht="76.5" x14ac:dyDescent="0.25">
      <c r="B279" s="2023"/>
      <c r="C279" s="1198"/>
      <c r="D279" s="1198"/>
      <c r="E279" s="1198"/>
      <c r="F279" s="716"/>
      <c r="G279" s="721" t="s">
        <v>2163</v>
      </c>
      <c r="H279" s="722" t="s">
        <v>2164</v>
      </c>
      <c r="I279" s="723" t="s">
        <v>103</v>
      </c>
      <c r="J279" s="724"/>
      <c r="K279" s="724">
        <v>4</v>
      </c>
      <c r="L279" s="725">
        <v>65000</v>
      </c>
      <c r="M279" s="724">
        <v>4</v>
      </c>
      <c r="N279" s="726">
        <v>65000</v>
      </c>
      <c r="O279" s="724">
        <v>4</v>
      </c>
      <c r="P279" s="726">
        <v>75000</v>
      </c>
      <c r="Q279" s="724">
        <v>4</v>
      </c>
      <c r="R279" s="726">
        <v>80000</v>
      </c>
      <c r="S279" s="724">
        <v>4</v>
      </c>
      <c r="T279" s="726">
        <v>85000</v>
      </c>
      <c r="U279" s="724">
        <v>4</v>
      </c>
      <c r="V279" s="726">
        <v>85000</v>
      </c>
      <c r="W279" s="728">
        <v>20</v>
      </c>
      <c r="X279" s="726"/>
      <c r="Y279" s="715" t="s">
        <v>1561</v>
      </c>
    </row>
    <row r="280" spans="2:25" ht="51" x14ac:dyDescent="0.25">
      <c r="B280" s="2023"/>
      <c r="C280" s="1198"/>
      <c r="D280" s="1198"/>
      <c r="E280" s="1198"/>
      <c r="F280" s="716"/>
      <c r="G280" s="721" t="s">
        <v>2165</v>
      </c>
      <c r="H280" s="722" t="s">
        <v>2166</v>
      </c>
      <c r="I280" s="723" t="s">
        <v>282</v>
      </c>
      <c r="J280" s="724"/>
      <c r="K280" s="724">
        <v>2</v>
      </c>
      <c r="L280" s="725">
        <v>218000</v>
      </c>
      <c r="M280" s="724">
        <v>2</v>
      </c>
      <c r="N280" s="726">
        <v>218000</v>
      </c>
      <c r="O280" s="724">
        <v>2</v>
      </c>
      <c r="P280" s="726">
        <v>285000</v>
      </c>
      <c r="Q280" s="724">
        <v>2</v>
      </c>
      <c r="R280" s="726">
        <v>295000</v>
      </c>
      <c r="S280" s="724">
        <v>2</v>
      </c>
      <c r="T280" s="726">
        <v>300000</v>
      </c>
      <c r="U280" s="724">
        <v>2</v>
      </c>
      <c r="V280" s="726">
        <v>300000</v>
      </c>
      <c r="W280" s="728">
        <v>10</v>
      </c>
      <c r="X280" s="726"/>
      <c r="Y280" s="715" t="s">
        <v>1561</v>
      </c>
    </row>
    <row r="281" spans="2:25" ht="76.5" x14ac:dyDescent="0.25">
      <c r="B281" s="2023"/>
      <c r="C281" s="1198"/>
      <c r="D281" s="1198"/>
      <c r="E281" s="1198"/>
      <c r="F281" s="716"/>
      <c r="G281" s="721" t="s">
        <v>2167</v>
      </c>
      <c r="H281" s="722" t="s">
        <v>2168</v>
      </c>
      <c r="I281" s="723"/>
      <c r="J281" s="724"/>
      <c r="K281" s="724">
        <v>2</v>
      </c>
      <c r="L281" s="725">
        <v>1872000</v>
      </c>
      <c r="M281" s="724">
        <v>26</v>
      </c>
      <c r="N281" s="726">
        <v>8395000</v>
      </c>
      <c r="O281" s="724">
        <v>26</v>
      </c>
      <c r="P281" s="726">
        <v>9000000</v>
      </c>
      <c r="Q281" s="724">
        <v>26</v>
      </c>
      <c r="R281" s="726">
        <v>9500000</v>
      </c>
      <c r="S281" s="724">
        <v>26</v>
      </c>
      <c r="T281" s="726">
        <v>10000000</v>
      </c>
      <c r="U281" s="724">
        <v>26</v>
      </c>
      <c r="V281" s="726">
        <v>10500000</v>
      </c>
      <c r="W281" s="728">
        <v>106</v>
      </c>
      <c r="X281" s="726"/>
      <c r="Y281" s="715" t="s">
        <v>1561</v>
      </c>
    </row>
    <row r="282" spans="2:25" ht="15" x14ac:dyDescent="0.25">
      <c r="B282" s="2023"/>
      <c r="C282" s="1198"/>
      <c r="D282" s="1198"/>
      <c r="E282" s="1198"/>
      <c r="F282" s="716"/>
      <c r="G282" s="733"/>
      <c r="H282" s="722"/>
      <c r="I282" s="723"/>
      <c r="J282" s="724"/>
      <c r="K282" s="724"/>
      <c r="L282" s="725"/>
      <c r="M282" s="724"/>
      <c r="N282" s="726"/>
      <c r="O282" s="724"/>
      <c r="P282" s="726"/>
      <c r="Q282" s="724"/>
      <c r="R282" s="726"/>
      <c r="S282" s="724"/>
      <c r="T282" s="726"/>
      <c r="U282" s="724"/>
      <c r="V282" s="726"/>
      <c r="W282" s="728"/>
      <c r="X282" s="726"/>
      <c r="Y282" s="715"/>
    </row>
    <row r="283" spans="2:25" ht="76.5" x14ac:dyDescent="0.25">
      <c r="B283" s="2023"/>
      <c r="C283" s="1198"/>
      <c r="D283" s="955" t="s">
        <v>4015</v>
      </c>
      <c r="E283" s="955" t="s">
        <v>4016</v>
      </c>
      <c r="F283" s="685" t="s">
        <v>1567</v>
      </c>
      <c r="G283" s="976" t="s">
        <v>4013</v>
      </c>
      <c r="H283" s="729"/>
      <c r="I283" s="710" t="s">
        <v>19</v>
      </c>
      <c r="J283" s="717">
        <v>46.634615384615387</v>
      </c>
      <c r="K283" s="717">
        <v>51.923076923076927</v>
      </c>
      <c r="L283" s="718"/>
      <c r="M283" s="717">
        <v>61.53846153846154</v>
      </c>
      <c r="N283" s="718"/>
      <c r="O283" s="717">
        <v>71.15384615384616</v>
      </c>
      <c r="P283" s="718"/>
      <c r="Q283" s="717">
        <v>63.655913978494624</v>
      </c>
      <c r="R283" s="718"/>
      <c r="S283" s="717">
        <v>72.956989247311824</v>
      </c>
      <c r="T283" s="718"/>
      <c r="U283" s="717">
        <v>100</v>
      </c>
      <c r="V283" s="718"/>
      <c r="W283" s="719">
        <v>100</v>
      </c>
      <c r="X283" s="714"/>
      <c r="Y283" s="715" t="s">
        <v>1561</v>
      </c>
    </row>
    <row r="284" spans="2:25" ht="36" x14ac:dyDescent="0.25">
      <c r="B284" s="2023"/>
      <c r="C284" s="1198"/>
      <c r="D284" s="1198"/>
      <c r="E284" s="1198"/>
      <c r="F284" s="716"/>
      <c r="G284" s="729" t="s">
        <v>1568</v>
      </c>
      <c r="H284" s="729"/>
      <c r="I284" s="710" t="s">
        <v>19</v>
      </c>
      <c r="J284" s="717">
        <v>46.634615384615387</v>
      </c>
      <c r="K284" s="717">
        <v>51.923076923076927</v>
      </c>
      <c r="L284" s="718">
        <f>SUM(L285:L287)</f>
        <v>2740000</v>
      </c>
      <c r="M284" s="717">
        <v>61.53846153846154</v>
      </c>
      <c r="N284" s="718">
        <f>SUM(N285:N287)</f>
        <v>6915000</v>
      </c>
      <c r="O284" s="717">
        <v>71.15384615384616</v>
      </c>
      <c r="P284" s="718">
        <f>SUM(P285:P287)</f>
        <v>7181500</v>
      </c>
      <c r="Q284" s="717">
        <v>63.655913978494624</v>
      </c>
      <c r="R284" s="718">
        <f>SUM(R285:R287)</f>
        <v>7699650</v>
      </c>
      <c r="S284" s="717">
        <v>72.956989247311824</v>
      </c>
      <c r="T284" s="718">
        <f>SUM(T285:T287)</f>
        <v>8219615</v>
      </c>
      <c r="U284" s="717">
        <v>100</v>
      </c>
      <c r="V284" s="718">
        <f>SUM(V285:V287)</f>
        <v>8719615</v>
      </c>
      <c r="W284" s="719">
        <v>73</v>
      </c>
      <c r="X284" s="714"/>
      <c r="Y284" s="715" t="s">
        <v>1561</v>
      </c>
    </row>
    <row r="285" spans="2:25" ht="89.25" x14ac:dyDescent="0.25">
      <c r="B285" s="2023"/>
      <c r="C285" s="1198"/>
      <c r="D285" s="1198"/>
      <c r="E285" s="1198"/>
      <c r="F285" s="720"/>
      <c r="G285" s="721" t="s">
        <v>2171</v>
      </c>
      <c r="H285" s="722" t="s">
        <v>2172</v>
      </c>
      <c r="I285" s="723" t="s">
        <v>69</v>
      </c>
      <c r="J285" s="724"/>
      <c r="K285" s="724">
        <v>1</v>
      </c>
      <c r="L285" s="725">
        <v>65000</v>
      </c>
      <c r="M285" s="724">
        <v>1</v>
      </c>
      <c r="N285" s="726">
        <v>65000</v>
      </c>
      <c r="O285" s="724">
        <v>1</v>
      </c>
      <c r="P285" s="726">
        <v>78650</v>
      </c>
      <c r="Q285" s="724">
        <v>1</v>
      </c>
      <c r="R285" s="726">
        <v>86515</v>
      </c>
      <c r="S285" s="724">
        <v>1</v>
      </c>
      <c r="T285" s="726">
        <v>95166.5</v>
      </c>
      <c r="U285" s="724">
        <v>1</v>
      </c>
      <c r="V285" s="726">
        <v>95166.5</v>
      </c>
      <c r="W285" s="728">
        <v>5</v>
      </c>
      <c r="X285" s="726"/>
      <c r="Y285" s="715" t="s">
        <v>1561</v>
      </c>
    </row>
    <row r="286" spans="2:25" ht="76.5" x14ac:dyDescent="0.25">
      <c r="B286" s="2023"/>
      <c r="C286" s="1198"/>
      <c r="D286" s="1198"/>
      <c r="E286" s="1198"/>
      <c r="F286" s="720"/>
      <c r="G286" s="721" t="s">
        <v>2173</v>
      </c>
      <c r="H286" s="722" t="s">
        <v>2174</v>
      </c>
      <c r="I286" s="723" t="s">
        <v>311</v>
      </c>
      <c r="J286" s="724"/>
      <c r="K286" s="724">
        <v>3</v>
      </c>
      <c r="L286" s="725">
        <v>65000</v>
      </c>
      <c r="M286" s="724">
        <v>3</v>
      </c>
      <c r="N286" s="726">
        <v>65000</v>
      </c>
      <c r="O286" s="724">
        <v>3</v>
      </c>
      <c r="P286" s="726">
        <v>102850</v>
      </c>
      <c r="Q286" s="724">
        <v>3</v>
      </c>
      <c r="R286" s="726">
        <v>113135</v>
      </c>
      <c r="S286" s="724">
        <v>3</v>
      </c>
      <c r="T286" s="726">
        <v>124448.5</v>
      </c>
      <c r="U286" s="724">
        <v>3</v>
      </c>
      <c r="V286" s="726">
        <v>124448.5</v>
      </c>
      <c r="W286" s="728">
        <v>15</v>
      </c>
      <c r="X286" s="726"/>
      <c r="Y286" s="715" t="s">
        <v>1561</v>
      </c>
    </row>
    <row r="287" spans="2:25" ht="153" x14ac:dyDescent="0.25">
      <c r="B287" s="2023"/>
      <c r="C287" s="1198"/>
      <c r="D287" s="1198"/>
      <c r="E287" s="1198"/>
      <c r="F287" s="720"/>
      <c r="G287" s="721" t="s">
        <v>2175</v>
      </c>
      <c r="H287" s="722" t="s">
        <v>2176</v>
      </c>
      <c r="I287" s="723" t="s">
        <v>69</v>
      </c>
      <c r="J287" s="724">
        <v>40</v>
      </c>
      <c r="K287" s="724">
        <v>8</v>
      </c>
      <c r="L287" s="725">
        <v>2610000</v>
      </c>
      <c r="M287" s="724">
        <v>8</v>
      </c>
      <c r="N287" s="726">
        <v>6785000</v>
      </c>
      <c r="O287" s="724">
        <v>8</v>
      </c>
      <c r="P287" s="726">
        <v>7000000</v>
      </c>
      <c r="Q287" s="724">
        <v>8</v>
      </c>
      <c r="R287" s="726">
        <v>7500000</v>
      </c>
      <c r="S287" s="724">
        <v>8</v>
      </c>
      <c r="T287" s="726">
        <v>8000000</v>
      </c>
      <c r="U287" s="724">
        <v>8</v>
      </c>
      <c r="V287" s="726">
        <v>8500000</v>
      </c>
      <c r="W287" s="728">
        <v>40</v>
      </c>
      <c r="X287" s="726"/>
      <c r="Y287" s="715" t="s">
        <v>1561</v>
      </c>
    </row>
    <row r="288" spans="2:25" ht="36" x14ac:dyDescent="0.25">
      <c r="B288" s="2023"/>
      <c r="C288" s="1198"/>
      <c r="D288" s="1198"/>
      <c r="E288" s="1198"/>
      <c r="F288" s="716"/>
      <c r="G288" s="709" t="s">
        <v>1569</v>
      </c>
      <c r="H288" s="729" t="s">
        <v>1567</v>
      </c>
      <c r="I288" s="710" t="s">
        <v>19</v>
      </c>
      <c r="J288" s="717">
        <v>46.634615384615387</v>
      </c>
      <c r="K288" s="717">
        <v>51.923076923076927</v>
      </c>
      <c r="L288" s="718">
        <f>SUM(L289)</f>
        <v>105000</v>
      </c>
      <c r="M288" s="717">
        <v>61.53846153846154</v>
      </c>
      <c r="N288" s="718">
        <f>SUM(N289)</f>
        <v>105000</v>
      </c>
      <c r="O288" s="717">
        <v>71.15384615384616</v>
      </c>
      <c r="P288" s="718">
        <f>SUM(P289)</f>
        <v>163350</v>
      </c>
      <c r="Q288" s="717">
        <v>63.655913978494624</v>
      </c>
      <c r="R288" s="718">
        <f>SUM(R289)</f>
        <v>179685</v>
      </c>
      <c r="S288" s="717">
        <v>72.956989247311824</v>
      </c>
      <c r="T288" s="718">
        <f>SUM(T289)</f>
        <v>197653</v>
      </c>
      <c r="U288" s="717">
        <v>100</v>
      </c>
      <c r="V288" s="718">
        <f>SUM(V289)</f>
        <v>197653</v>
      </c>
      <c r="W288" s="719">
        <v>73</v>
      </c>
      <c r="X288" s="714"/>
      <c r="Y288" s="715" t="s">
        <v>1561</v>
      </c>
    </row>
    <row r="289" spans="2:25" ht="114.75" x14ac:dyDescent="0.25">
      <c r="B289" s="2023"/>
      <c r="C289" s="1198"/>
      <c r="D289" s="1198"/>
      <c r="E289" s="1198"/>
      <c r="F289" s="720"/>
      <c r="G289" s="733" t="s">
        <v>2177</v>
      </c>
      <c r="H289" s="722" t="s">
        <v>2178</v>
      </c>
      <c r="I289" s="723" t="s">
        <v>2179</v>
      </c>
      <c r="J289" s="724"/>
      <c r="K289" s="724">
        <v>250</v>
      </c>
      <c r="L289" s="725">
        <v>105000</v>
      </c>
      <c r="M289" s="724">
        <v>250</v>
      </c>
      <c r="N289" s="726">
        <v>105000</v>
      </c>
      <c r="O289" s="724">
        <v>250</v>
      </c>
      <c r="P289" s="726">
        <v>163350</v>
      </c>
      <c r="Q289" s="724">
        <v>250</v>
      </c>
      <c r="R289" s="726">
        <v>179685</v>
      </c>
      <c r="S289" s="724">
        <v>250</v>
      </c>
      <c r="T289" s="726">
        <v>197653</v>
      </c>
      <c r="U289" s="724">
        <v>250</v>
      </c>
      <c r="V289" s="726">
        <v>197653</v>
      </c>
      <c r="W289" s="728">
        <v>1250</v>
      </c>
      <c r="X289" s="726"/>
      <c r="Y289" s="715" t="s">
        <v>1561</v>
      </c>
    </row>
    <row r="290" spans="2:25" ht="38.25" x14ac:dyDescent="0.25">
      <c r="B290" s="2023"/>
      <c r="C290" s="1198"/>
      <c r="D290" s="1198"/>
      <c r="E290" s="1198"/>
      <c r="F290" s="720"/>
      <c r="G290" s="730"/>
      <c r="H290" s="722" t="s">
        <v>3063</v>
      </c>
      <c r="I290" s="723" t="s">
        <v>75</v>
      </c>
      <c r="J290" s="724"/>
      <c r="K290" s="724">
        <v>0</v>
      </c>
      <c r="L290" s="725">
        <v>0</v>
      </c>
      <c r="M290" s="724">
        <v>1</v>
      </c>
      <c r="N290" s="726">
        <v>1500000</v>
      </c>
      <c r="O290" s="724">
        <v>2</v>
      </c>
      <c r="P290" s="726">
        <v>3000000</v>
      </c>
      <c r="Q290" s="724">
        <v>1</v>
      </c>
      <c r="R290" s="726">
        <v>1500000</v>
      </c>
      <c r="S290" s="724">
        <v>1</v>
      </c>
      <c r="T290" s="726">
        <v>1500000</v>
      </c>
      <c r="U290" s="724">
        <v>1</v>
      </c>
      <c r="V290" s="726">
        <v>1500000</v>
      </c>
      <c r="W290" s="728"/>
      <c r="X290" s="726"/>
      <c r="Y290" s="715" t="s">
        <v>1561</v>
      </c>
    </row>
    <row r="291" spans="2:25" ht="36" x14ac:dyDescent="0.25">
      <c r="B291" s="2023"/>
      <c r="C291" s="1198"/>
      <c r="D291" s="1198"/>
      <c r="E291" s="1198"/>
      <c r="F291" s="716"/>
      <c r="G291" s="709" t="s">
        <v>1570</v>
      </c>
      <c r="H291" s="729" t="s">
        <v>1567</v>
      </c>
      <c r="I291" s="710" t="s">
        <v>19</v>
      </c>
      <c r="J291" s="717">
        <v>46.634615384615387</v>
      </c>
      <c r="K291" s="717">
        <v>51.923076923076927</v>
      </c>
      <c r="L291" s="718">
        <f>SUM(L292)</f>
        <v>120000</v>
      </c>
      <c r="M291" s="717">
        <v>61.53846153846154</v>
      </c>
      <c r="N291" s="718">
        <f>SUM(N292)</f>
        <v>120000</v>
      </c>
      <c r="O291" s="717">
        <v>71.15384615384616</v>
      </c>
      <c r="P291" s="718">
        <f>SUM(P292)</f>
        <v>145200</v>
      </c>
      <c r="Q291" s="717">
        <v>63.655913978494624</v>
      </c>
      <c r="R291" s="718">
        <f>SUM(R292)</f>
        <v>159720</v>
      </c>
      <c r="S291" s="717">
        <v>72.956989247311824</v>
      </c>
      <c r="T291" s="718">
        <f>SUM(T292)</f>
        <v>175692</v>
      </c>
      <c r="U291" s="717">
        <v>100</v>
      </c>
      <c r="V291" s="718">
        <f>SUM(V292)</f>
        <v>175692</v>
      </c>
      <c r="W291" s="719">
        <v>73</v>
      </c>
      <c r="X291" s="714"/>
      <c r="Y291" s="715" t="s">
        <v>1561</v>
      </c>
    </row>
    <row r="292" spans="2:25" ht="63.75" x14ac:dyDescent="0.25">
      <c r="B292" s="2024"/>
      <c r="C292" s="1800"/>
      <c r="D292" s="1800"/>
      <c r="E292" s="1800"/>
      <c r="F292" s="730"/>
      <c r="G292" s="721" t="s">
        <v>2180</v>
      </c>
      <c r="H292" s="722" t="s">
        <v>2181</v>
      </c>
      <c r="I292" s="723" t="s">
        <v>2182</v>
      </c>
      <c r="J292" s="724"/>
      <c r="K292" s="724">
        <v>120</v>
      </c>
      <c r="L292" s="725">
        <v>120000</v>
      </c>
      <c r="M292" s="724">
        <v>120</v>
      </c>
      <c r="N292" s="726">
        <v>120000</v>
      </c>
      <c r="O292" s="724">
        <v>120</v>
      </c>
      <c r="P292" s="726">
        <v>145200</v>
      </c>
      <c r="Q292" s="724">
        <v>120</v>
      </c>
      <c r="R292" s="726">
        <v>159720</v>
      </c>
      <c r="S292" s="724">
        <v>120</v>
      </c>
      <c r="T292" s="726">
        <v>175692</v>
      </c>
      <c r="U292" s="724">
        <v>120</v>
      </c>
      <c r="V292" s="726">
        <v>175692</v>
      </c>
      <c r="W292" s="728">
        <v>600</v>
      </c>
      <c r="X292" s="726"/>
      <c r="Y292" s="715" t="s">
        <v>1561</v>
      </c>
    </row>
    <row r="293" spans="2:25" ht="15" x14ac:dyDescent="0.25">
      <c r="B293" s="954"/>
      <c r="C293" s="953"/>
      <c r="D293" s="953"/>
      <c r="E293" s="953"/>
      <c r="F293" s="709"/>
      <c r="G293" s="721"/>
      <c r="H293" s="722"/>
      <c r="I293" s="723"/>
      <c r="J293" s="724"/>
      <c r="K293" s="724"/>
      <c r="L293" s="725"/>
      <c r="M293" s="724"/>
      <c r="N293" s="726"/>
      <c r="O293" s="724"/>
      <c r="P293" s="726"/>
      <c r="Q293" s="724"/>
      <c r="R293" s="726"/>
      <c r="S293" s="724"/>
      <c r="T293" s="726"/>
      <c r="U293" s="724"/>
      <c r="V293" s="726"/>
      <c r="W293" s="728"/>
      <c r="X293" s="726"/>
      <c r="Y293" s="715" t="s">
        <v>1561</v>
      </c>
    </row>
    <row r="294" spans="2:25" ht="63.75" customHeight="1" x14ac:dyDescent="0.25">
      <c r="B294" s="2028" t="s">
        <v>33</v>
      </c>
      <c r="C294" s="1946" t="s">
        <v>34</v>
      </c>
      <c r="D294" s="1946" t="s">
        <v>3831</v>
      </c>
      <c r="E294" s="1792" t="s">
        <v>3992</v>
      </c>
      <c r="F294" s="1946" t="s">
        <v>3913</v>
      </c>
      <c r="G294" s="38" t="s">
        <v>3133</v>
      </c>
      <c r="H294" s="709"/>
      <c r="I294" s="710" t="s">
        <v>19</v>
      </c>
      <c r="J294" s="711">
        <v>90</v>
      </c>
      <c r="K294" s="711">
        <v>91</v>
      </c>
      <c r="L294" s="712"/>
      <c r="M294" s="711">
        <v>92</v>
      </c>
      <c r="N294" s="712"/>
      <c r="O294" s="711">
        <v>93</v>
      </c>
      <c r="P294" s="712"/>
      <c r="Q294" s="711">
        <v>94</v>
      </c>
      <c r="R294" s="712"/>
      <c r="S294" s="711">
        <v>95</v>
      </c>
      <c r="T294" s="712"/>
      <c r="U294" s="711">
        <v>96</v>
      </c>
      <c r="V294" s="712"/>
      <c r="W294" s="713">
        <v>96</v>
      </c>
      <c r="X294" s="709"/>
      <c r="Y294" s="715" t="s">
        <v>1561</v>
      </c>
    </row>
    <row r="295" spans="2:25" ht="60" x14ac:dyDescent="0.25">
      <c r="B295" s="2029"/>
      <c r="C295" s="1947"/>
      <c r="D295" s="1947"/>
      <c r="E295" s="1793"/>
      <c r="F295" s="1947"/>
      <c r="G295" s="729" t="s">
        <v>36</v>
      </c>
      <c r="H295" s="729" t="s">
        <v>1639</v>
      </c>
      <c r="I295" s="710" t="s">
        <v>19</v>
      </c>
      <c r="J295" s="717">
        <v>100</v>
      </c>
      <c r="K295" s="717">
        <v>20</v>
      </c>
      <c r="L295" s="718">
        <f>SUM(L296:L309)</f>
        <v>1144983</v>
      </c>
      <c r="M295" s="717">
        <v>20</v>
      </c>
      <c r="N295" s="718">
        <f>SUM(N296:N309)</f>
        <v>1221343</v>
      </c>
      <c r="O295" s="717">
        <v>15</v>
      </c>
      <c r="P295" s="718">
        <f>SUM(P296:P309)</f>
        <v>1338200</v>
      </c>
      <c r="Q295" s="717">
        <v>15</v>
      </c>
      <c r="R295" s="718">
        <f>SUM(R296:R309)</f>
        <v>1416000</v>
      </c>
      <c r="S295" s="717">
        <v>15</v>
      </c>
      <c r="T295" s="718">
        <f>SUM(T296:T309)</f>
        <v>1488000</v>
      </c>
      <c r="U295" s="717">
        <v>15</v>
      </c>
      <c r="V295" s="718">
        <f>SUM(V296:V309)</f>
        <v>1574700</v>
      </c>
      <c r="W295" s="719">
        <v>100</v>
      </c>
      <c r="X295" s="714"/>
      <c r="Y295" s="715" t="s">
        <v>1561</v>
      </c>
    </row>
    <row r="296" spans="2:25" ht="38.25" x14ac:dyDescent="0.25">
      <c r="B296" s="2029"/>
      <c r="C296" s="1198"/>
      <c r="D296" s="1198"/>
      <c r="E296" s="1198"/>
      <c r="F296" s="731"/>
      <c r="G296" s="732" t="s">
        <v>124</v>
      </c>
      <c r="H296" s="722" t="s">
        <v>2183</v>
      </c>
      <c r="I296" s="723" t="s">
        <v>40</v>
      </c>
      <c r="J296" s="724"/>
      <c r="K296" s="724">
        <v>12</v>
      </c>
      <c r="L296" s="725">
        <v>2000</v>
      </c>
      <c r="M296" s="724">
        <v>12</v>
      </c>
      <c r="N296" s="726">
        <v>2000</v>
      </c>
      <c r="O296" s="724">
        <v>12</v>
      </c>
      <c r="P296" s="726">
        <v>2700</v>
      </c>
      <c r="Q296" s="724">
        <v>12</v>
      </c>
      <c r="R296" s="726">
        <v>3000</v>
      </c>
      <c r="S296" s="724">
        <v>12</v>
      </c>
      <c r="T296" s="726">
        <v>3500</v>
      </c>
      <c r="U296" s="724">
        <v>12</v>
      </c>
      <c r="V296" s="726">
        <v>3700</v>
      </c>
      <c r="W296" s="719">
        <v>60</v>
      </c>
      <c r="X296" s="726"/>
      <c r="Y296" s="715" t="s">
        <v>1561</v>
      </c>
    </row>
    <row r="297" spans="2:25" ht="63.75" x14ac:dyDescent="0.25">
      <c r="B297" s="2029"/>
      <c r="C297" s="1198"/>
      <c r="D297" s="1198"/>
      <c r="E297" s="1198"/>
      <c r="F297" s="731"/>
      <c r="G297" s="732" t="s">
        <v>2184</v>
      </c>
      <c r="H297" s="722" t="s">
        <v>2185</v>
      </c>
      <c r="I297" s="723" t="s">
        <v>40</v>
      </c>
      <c r="J297" s="724"/>
      <c r="K297" s="724">
        <v>12</v>
      </c>
      <c r="L297" s="725">
        <v>170000</v>
      </c>
      <c r="M297" s="724">
        <v>12</v>
      </c>
      <c r="N297" s="726">
        <v>175000</v>
      </c>
      <c r="O297" s="724">
        <v>12</v>
      </c>
      <c r="P297" s="726">
        <v>250000</v>
      </c>
      <c r="Q297" s="724">
        <v>12</v>
      </c>
      <c r="R297" s="726">
        <v>280000</v>
      </c>
      <c r="S297" s="724">
        <v>12</v>
      </c>
      <c r="T297" s="726">
        <v>310000</v>
      </c>
      <c r="U297" s="724">
        <v>12</v>
      </c>
      <c r="V297" s="726">
        <v>350000</v>
      </c>
      <c r="W297" s="719">
        <v>60</v>
      </c>
      <c r="X297" s="726"/>
      <c r="Y297" s="715" t="s">
        <v>1561</v>
      </c>
    </row>
    <row r="298" spans="2:25" ht="89.25" x14ac:dyDescent="0.25">
      <c r="B298" s="2029"/>
      <c r="C298" s="1198"/>
      <c r="D298" s="1198"/>
      <c r="E298" s="1198"/>
      <c r="F298" s="731"/>
      <c r="G298" s="732" t="s">
        <v>43</v>
      </c>
      <c r="H298" s="722" t="s">
        <v>2186</v>
      </c>
      <c r="I298" s="723" t="s">
        <v>40</v>
      </c>
      <c r="J298" s="724"/>
      <c r="K298" s="724">
        <v>12</v>
      </c>
      <c r="L298" s="725">
        <v>72773</v>
      </c>
      <c r="M298" s="724">
        <v>12</v>
      </c>
      <c r="N298" s="726">
        <v>83228</v>
      </c>
      <c r="O298" s="724">
        <v>12</v>
      </c>
      <c r="P298" s="726">
        <v>85000</v>
      </c>
      <c r="Q298" s="724">
        <v>12</v>
      </c>
      <c r="R298" s="726">
        <v>90000</v>
      </c>
      <c r="S298" s="724">
        <v>12</v>
      </c>
      <c r="T298" s="726">
        <v>95000</v>
      </c>
      <c r="U298" s="724">
        <v>12</v>
      </c>
      <c r="V298" s="726">
        <v>100000</v>
      </c>
      <c r="W298" s="719">
        <v>60</v>
      </c>
      <c r="X298" s="726"/>
      <c r="Y298" s="715" t="s">
        <v>1561</v>
      </c>
    </row>
    <row r="299" spans="2:25" ht="51" x14ac:dyDescent="0.25">
      <c r="B299" s="2029"/>
      <c r="C299" s="1198"/>
      <c r="D299" s="1198"/>
      <c r="E299" s="1198"/>
      <c r="F299" s="731"/>
      <c r="G299" s="732" t="s">
        <v>45</v>
      </c>
      <c r="H299" s="722" t="s">
        <v>2187</v>
      </c>
      <c r="I299" s="723" t="s">
        <v>40</v>
      </c>
      <c r="J299" s="724"/>
      <c r="K299" s="724">
        <v>12</v>
      </c>
      <c r="L299" s="725">
        <v>65000</v>
      </c>
      <c r="M299" s="724">
        <v>12</v>
      </c>
      <c r="N299" s="726">
        <v>70000</v>
      </c>
      <c r="O299" s="724">
        <v>12</v>
      </c>
      <c r="P299" s="726">
        <v>85000</v>
      </c>
      <c r="Q299" s="724">
        <v>12</v>
      </c>
      <c r="R299" s="726">
        <v>95000</v>
      </c>
      <c r="S299" s="724">
        <v>12</v>
      </c>
      <c r="T299" s="726">
        <v>100000</v>
      </c>
      <c r="U299" s="724">
        <v>12</v>
      </c>
      <c r="V299" s="726">
        <v>105000</v>
      </c>
      <c r="W299" s="719">
        <v>60</v>
      </c>
      <c r="X299" s="726"/>
      <c r="Y299" s="715" t="s">
        <v>1561</v>
      </c>
    </row>
    <row r="300" spans="2:25" ht="38.25" x14ac:dyDescent="0.25">
      <c r="B300" s="2029"/>
      <c r="C300" s="1198"/>
      <c r="D300" s="1198"/>
      <c r="E300" s="1198"/>
      <c r="F300" s="731"/>
      <c r="G300" s="732" t="s">
        <v>47</v>
      </c>
      <c r="H300" s="722" t="s">
        <v>2188</v>
      </c>
      <c r="I300" s="723" t="s">
        <v>40</v>
      </c>
      <c r="J300" s="724"/>
      <c r="K300" s="724">
        <v>12</v>
      </c>
      <c r="L300" s="725">
        <v>6575</v>
      </c>
      <c r="M300" s="724">
        <v>12</v>
      </c>
      <c r="N300" s="726">
        <v>7000</v>
      </c>
      <c r="O300" s="724">
        <v>12</v>
      </c>
      <c r="P300" s="726">
        <v>7500</v>
      </c>
      <c r="Q300" s="724">
        <v>12</v>
      </c>
      <c r="R300" s="726">
        <v>8000</v>
      </c>
      <c r="S300" s="724">
        <v>12</v>
      </c>
      <c r="T300" s="726">
        <v>8500</v>
      </c>
      <c r="U300" s="724">
        <v>12</v>
      </c>
      <c r="V300" s="726">
        <v>9000</v>
      </c>
      <c r="W300" s="719">
        <v>60</v>
      </c>
      <c r="X300" s="726"/>
      <c r="Y300" s="715" t="s">
        <v>1561</v>
      </c>
    </row>
    <row r="301" spans="2:25" ht="38.25" x14ac:dyDescent="0.25">
      <c r="B301" s="2029"/>
      <c r="C301" s="1198"/>
      <c r="D301" s="1198"/>
      <c r="E301" s="1198"/>
      <c r="F301" s="731"/>
      <c r="G301" s="732" t="s">
        <v>923</v>
      </c>
      <c r="H301" s="722" t="s">
        <v>2189</v>
      </c>
      <c r="I301" s="723" t="s">
        <v>40</v>
      </c>
      <c r="J301" s="724"/>
      <c r="K301" s="724">
        <v>12</v>
      </c>
      <c r="L301" s="725">
        <v>25000</v>
      </c>
      <c r="M301" s="724">
        <v>12</v>
      </c>
      <c r="N301" s="726">
        <v>25000</v>
      </c>
      <c r="O301" s="724">
        <v>12</v>
      </c>
      <c r="P301" s="726">
        <v>30000</v>
      </c>
      <c r="Q301" s="724">
        <v>12</v>
      </c>
      <c r="R301" s="726">
        <v>33000</v>
      </c>
      <c r="S301" s="724">
        <v>12</v>
      </c>
      <c r="T301" s="726">
        <v>35000</v>
      </c>
      <c r="U301" s="724">
        <v>12</v>
      </c>
      <c r="V301" s="726">
        <v>40000</v>
      </c>
      <c r="W301" s="719">
        <v>60</v>
      </c>
      <c r="X301" s="726"/>
      <c r="Y301" s="715" t="s">
        <v>1561</v>
      </c>
    </row>
    <row r="302" spans="2:25" ht="25.5" x14ac:dyDescent="0.25">
      <c r="B302" s="2029"/>
      <c r="C302" s="1198"/>
      <c r="D302" s="1198"/>
      <c r="E302" s="1198"/>
      <c r="F302" s="731"/>
      <c r="G302" s="732" t="s">
        <v>50</v>
      </c>
      <c r="H302" s="722" t="s">
        <v>51</v>
      </c>
      <c r="I302" s="723" t="s">
        <v>40</v>
      </c>
      <c r="J302" s="724"/>
      <c r="K302" s="724">
        <v>12</v>
      </c>
      <c r="L302" s="725">
        <v>20000</v>
      </c>
      <c r="M302" s="724">
        <v>12</v>
      </c>
      <c r="N302" s="726">
        <v>22500</v>
      </c>
      <c r="O302" s="724">
        <v>12</v>
      </c>
      <c r="P302" s="726">
        <v>27000</v>
      </c>
      <c r="Q302" s="724">
        <v>12</v>
      </c>
      <c r="R302" s="726">
        <v>30000</v>
      </c>
      <c r="S302" s="724">
        <v>12</v>
      </c>
      <c r="T302" s="726">
        <v>35000</v>
      </c>
      <c r="U302" s="724">
        <v>12</v>
      </c>
      <c r="V302" s="726">
        <v>40000</v>
      </c>
      <c r="W302" s="719">
        <v>60</v>
      </c>
      <c r="X302" s="726"/>
      <c r="Y302" s="715" t="s">
        <v>1561</v>
      </c>
    </row>
    <row r="303" spans="2:25" ht="51" x14ac:dyDescent="0.25">
      <c r="B303" s="2029"/>
      <c r="C303" s="1198"/>
      <c r="D303" s="1198"/>
      <c r="E303" s="1198"/>
      <c r="F303" s="731"/>
      <c r="G303" s="732" t="s">
        <v>52</v>
      </c>
      <c r="H303" s="722" t="s">
        <v>463</v>
      </c>
      <c r="I303" s="723" t="s">
        <v>40</v>
      </c>
      <c r="J303" s="724"/>
      <c r="K303" s="724">
        <v>12</v>
      </c>
      <c r="L303" s="725">
        <v>377080</v>
      </c>
      <c r="M303" s="724">
        <v>12</v>
      </c>
      <c r="N303" s="726">
        <v>385000</v>
      </c>
      <c r="O303" s="724">
        <v>12</v>
      </c>
      <c r="P303" s="726">
        <v>400000</v>
      </c>
      <c r="Q303" s="724">
        <v>12</v>
      </c>
      <c r="R303" s="726">
        <v>410000</v>
      </c>
      <c r="S303" s="724">
        <v>12</v>
      </c>
      <c r="T303" s="726">
        <v>420000</v>
      </c>
      <c r="U303" s="724">
        <v>12</v>
      </c>
      <c r="V303" s="726">
        <v>430000</v>
      </c>
      <c r="W303" s="719">
        <v>60</v>
      </c>
      <c r="X303" s="726"/>
      <c r="Y303" s="715" t="s">
        <v>1561</v>
      </c>
    </row>
    <row r="304" spans="2:25" ht="76.5" x14ac:dyDescent="0.25">
      <c r="B304" s="2029"/>
      <c r="C304" s="1198"/>
      <c r="D304" s="1198"/>
      <c r="E304" s="1198"/>
      <c r="F304" s="731"/>
      <c r="G304" s="732" t="s">
        <v>54</v>
      </c>
      <c r="H304" s="722" t="s">
        <v>464</v>
      </c>
      <c r="I304" s="723" t="s">
        <v>40</v>
      </c>
      <c r="J304" s="724"/>
      <c r="K304" s="724">
        <v>12</v>
      </c>
      <c r="L304" s="725">
        <v>9355</v>
      </c>
      <c r="M304" s="724">
        <v>12</v>
      </c>
      <c r="N304" s="726">
        <v>9355</v>
      </c>
      <c r="O304" s="724">
        <v>12</v>
      </c>
      <c r="P304" s="726">
        <v>12000</v>
      </c>
      <c r="Q304" s="724">
        <v>12</v>
      </c>
      <c r="R304" s="726">
        <v>15000</v>
      </c>
      <c r="S304" s="724">
        <v>12</v>
      </c>
      <c r="T304" s="726">
        <v>17000</v>
      </c>
      <c r="U304" s="724">
        <v>12</v>
      </c>
      <c r="V304" s="726">
        <v>20000</v>
      </c>
      <c r="W304" s="719">
        <v>60</v>
      </c>
      <c r="X304" s="726"/>
      <c r="Y304" s="715" t="s">
        <v>1561</v>
      </c>
    </row>
    <row r="305" spans="2:25" ht="63.75" x14ac:dyDescent="0.25">
      <c r="B305" s="2029"/>
      <c r="C305" s="1198"/>
      <c r="D305" s="1198"/>
      <c r="E305" s="1198"/>
      <c r="F305" s="731"/>
      <c r="G305" s="732" t="s">
        <v>56</v>
      </c>
      <c r="H305" s="722" t="s">
        <v>2190</v>
      </c>
      <c r="I305" s="723" t="s">
        <v>40</v>
      </c>
      <c r="J305" s="724"/>
      <c r="K305" s="724">
        <v>12</v>
      </c>
      <c r="L305" s="725">
        <v>7000</v>
      </c>
      <c r="M305" s="724">
        <v>12</v>
      </c>
      <c r="N305" s="726">
        <v>7000</v>
      </c>
      <c r="O305" s="724">
        <v>12</v>
      </c>
      <c r="P305" s="726">
        <v>7000</v>
      </c>
      <c r="Q305" s="724">
        <v>12</v>
      </c>
      <c r="R305" s="726">
        <v>7000</v>
      </c>
      <c r="S305" s="724">
        <v>12</v>
      </c>
      <c r="T305" s="726">
        <v>7000</v>
      </c>
      <c r="U305" s="724">
        <v>12</v>
      </c>
      <c r="V305" s="726">
        <v>7000</v>
      </c>
      <c r="W305" s="719">
        <v>60</v>
      </c>
      <c r="X305" s="726"/>
      <c r="Y305" s="715" t="s">
        <v>1561</v>
      </c>
    </row>
    <row r="306" spans="2:25" ht="38.25" x14ac:dyDescent="0.25">
      <c r="B306" s="1197"/>
      <c r="C306" s="1198"/>
      <c r="D306" s="1198"/>
      <c r="E306" s="1198"/>
      <c r="F306" s="731"/>
      <c r="G306" s="732" t="s">
        <v>58</v>
      </c>
      <c r="H306" s="722" t="s">
        <v>2191</v>
      </c>
      <c r="I306" s="723" t="s">
        <v>40</v>
      </c>
      <c r="J306" s="724"/>
      <c r="K306" s="724">
        <v>12</v>
      </c>
      <c r="L306" s="725">
        <v>18000</v>
      </c>
      <c r="M306" s="724">
        <v>12</v>
      </c>
      <c r="N306" s="726">
        <v>18000</v>
      </c>
      <c r="O306" s="724">
        <v>12</v>
      </c>
      <c r="P306" s="726">
        <v>22000</v>
      </c>
      <c r="Q306" s="724">
        <v>12</v>
      </c>
      <c r="R306" s="726">
        <v>25000</v>
      </c>
      <c r="S306" s="724">
        <v>12</v>
      </c>
      <c r="T306" s="726">
        <v>27000</v>
      </c>
      <c r="U306" s="724">
        <v>12</v>
      </c>
      <c r="V306" s="726">
        <v>30000</v>
      </c>
      <c r="W306" s="719">
        <v>60</v>
      </c>
      <c r="X306" s="726"/>
      <c r="Y306" s="715" t="s">
        <v>1561</v>
      </c>
    </row>
    <row r="307" spans="2:25" ht="63.75" x14ac:dyDescent="0.25">
      <c r="B307" s="1197"/>
      <c r="C307" s="1198"/>
      <c r="D307" s="1198"/>
      <c r="E307" s="1198"/>
      <c r="F307" s="731"/>
      <c r="G307" s="721" t="s">
        <v>137</v>
      </c>
      <c r="H307" s="722" t="s">
        <v>2192</v>
      </c>
      <c r="I307" s="723" t="s">
        <v>40</v>
      </c>
      <c r="J307" s="724"/>
      <c r="K307" s="724">
        <v>12</v>
      </c>
      <c r="L307" s="725">
        <v>60000</v>
      </c>
      <c r="M307" s="724">
        <v>12</v>
      </c>
      <c r="N307" s="726">
        <v>64500</v>
      </c>
      <c r="O307" s="724">
        <v>12</v>
      </c>
      <c r="P307" s="726">
        <v>70000</v>
      </c>
      <c r="Q307" s="724">
        <v>12</v>
      </c>
      <c r="R307" s="726">
        <v>75000</v>
      </c>
      <c r="S307" s="724">
        <v>12</v>
      </c>
      <c r="T307" s="726">
        <v>80000</v>
      </c>
      <c r="U307" s="724">
        <v>12</v>
      </c>
      <c r="V307" s="726">
        <v>85000</v>
      </c>
      <c r="W307" s="719">
        <v>60</v>
      </c>
      <c r="X307" s="726"/>
      <c r="Y307" s="715" t="s">
        <v>1561</v>
      </c>
    </row>
    <row r="308" spans="2:25" ht="25.5" x14ac:dyDescent="0.25">
      <c r="B308" s="1197"/>
      <c r="C308" s="1198"/>
      <c r="D308" s="1198"/>
      <c r="E308" s="1198"/>
      <c r="F308" s="731"/>
      <c r="G308" s="721" t="s">
        <v>62</v>
      </c>
      <c r="H308" s="722" t="s">
        <v>2193</v>
      </c>
      <c r="I308" s="723" t="s">
        <v>40</v>
      </c>
      <c r="J308" s="724"/>
      <c r="K308" s="724">
        <v>12</v>
      </c>
      <c r="L308" s="725">
        <v>277200</v>
      </c>
      <c r="M308" s="724">
        <v>12</v>
      </c>
      <c r="N308" s="726">
        <v>317760</v>
      </c>
      <c r="O308" s="724">
        <v>12</v>
      </c>
      <c r="P308" s="726">
        <v>300000</v>
      </c>
      <c r="Q308" s="724">
        <v>12</v>
      </c>
      <c r="R308" s="726">
        <v>300000</v>
      </c>
      <c r="S308" s="724">
        <v>12</v>
      </c>
      <c r="T308" s="726">
        <v>300000</v>
      </c>
      <c r="U308" s="724">
        <v>12</v>
      </c>
      <c r="V308" s="726">
        <v>300000</v>
      </c>
      <c r="W308" s="719">
        <v>60</v>
      </c>
      <c r="X308" s="726"/>
      <c r="Y308" s="715" t="s">
        <v>1561</v>
      </c>
    </row>
    <row r="309" spans="2:25" ht="76.5" x14ac:dyDescent="0.25">
      <c r="B309" s="1197"/>
      <c r="C309" s="1198"/>
      <c r="D309" s="1198"/>
      <c r="E309" s="1198"/>
      <c r="F309" s="731"/>
      <c r="G309" s="721" t="s">
        <v>2194</v>
      </c>
      <c r="H309" s="722" t="s">
        <v>2195</v>
      </c>
      <c r="I309" s="723" t="s">
        <v>40</v>
      </c>
      <c r="J309" s="724"/>
      <c r="K309" s="724">
        <v>12</v>
      </c>
      <c r="L309" s="725">
        <v>35000</v>
      </c>
      <c r="M309" s="724">
        <v>12</v>
      </c>
      <c r="N309" s="726">
        <v>35000</v>
      </c>
      <c r="O309" s="724">
        <v>12</v>
      </c>
      <c r="P309" s="726">
        <v>40000</v>
      </c>
      <c r="Q309" s="724">
        <v>12</v>
      </c>
      <c r="R309" s="726">
        <v>45000</v>
      </c>
      <c r="S309" s="724">
        <v>12</v>
      </c>
      <c r="T309" s="726">
        <v>50000</v>
      </c>
      <c r="U309" s="724">
        <v>12</v>
      </c>
      <c r="V309" s="726">
        <v>55000</v>
      </c>
      <c r="W309" s="719">
        <v>60</v>
      </c>
      <c r="X309" s="726"/>
      <c r="Y309" s="715" t="s">
        <v>1561</v>
      </c>
    </row>
    <row r="310" spans="2:25" ht="60" x14ac:dyDescent="0.25">
      <c r="B310" s="1197"/>
      <c r="C310" s="1198"/>
      <c r="D310" s="1198"/>
      <c r="E310" s="1198"/>
      <c r="F310" s="731"/>
      <c r="G310" s="709" t="s">
        <v>65</v>
      </c>
      <c r="H310" s="709" t="s">
        <v>1498</v>
      </c>
      <c r="I310" s="710" t="s">
        <v>19</v>
      </c>
      <c r="J310" s="717">
        <v>100</v>
      </c>
      <c r="K310" s="717">
        <v>20</v>
      </c>
      <c r="L310" s="718">
        <f>SUM(L311:L327)</f>
        <v>233000</v>
      </c>
      <c r="M310" s="717">
        <v>20</v>
      </c>
      <c r="N310" s="718">
        <f>SUM(N311:N327)</f>
        <v>1055000</v>
      </c>
      <c r="O310" s="717">
        <v>15</v>
      </c>
      <c r="P310" s="718">
        <f>SUM(P311:P327)</f>
        <v>175700</v>
      </c>
      <c r="Q310" s="717">
        <v>15</v>
      </c>
      <c r="R310" s="718">
        <f>SUM(R311:R327)</f>
        <v>239000</v>
      </c>
      <c r="S310" s="717">
        <v>15</v>
      </c>
      <c r="T310" s="718">
        <f>SUM(T311:T327)</f>
        <v>261500</v>
      </c>
      <c r="U310" s="717">
        <v>15</v>
      </c>
      <c r="V310" s="718">
        <f>SUM(V311:V327)</f>
        <v>271500</v>
      </c>
      <c r="W310" s="719">
        <v>100</v>
      </c>
      <c r="X310" s="714"/>
      <c r="Y310" s="715" t="s">
        <v>1561</v>
      </c>
    </row>
    <row r="311" spans="2:25" ht="63.75" x14ac:dyDescent="0.25">
      <c r="B311" s="1197"/>
      <c r="C311" s="1198"/>
      <c r="D311" s="1198"/>
      <c r="E311" s="1198"/>
      <c r="F311" s="731"/>
      <c r="G311" s="721" t="s">
        <v>1174</v>
      </c>
      <c r="H311" s="722" t="s">
        <v>3062</v>
      </c>
      <c r="I311" s="723" t="s">
        <v>75</v>
      </c>
      <c r="J311" s="724"/>
      <c r="K311" s="724">
        <v>2</v>
      </c>
      <c r="L311" s="725">
        <v>38000</v>
      </c>
      <c r="M311" s="724">
        <v>3</v>
      </c>
      <c r="N311" s="726">
        <v>938000</v>
      </c>
      <c r="O311" s="724">
        <v>0</v>
      </c>
      <c r="P311" s="726">
        <v>0</v>
      </c>
      <c r="Q311" s="724">
        <v>2</v>
      </c>
      <c r="R311" s="726">
        <v>45000</v>
      </c>
      <c r="S311" s="724">
        <v>2</v>
      </c>
      <c r="T311" s="726">
        <v>47000</v>
      </c>
      <c r="U311" s="724">
        <v>2</v>
      </c>
      <c r="V311" s="726">
        <v>47000</v>
      </c>
      <c r="W311" s="719">
        <v>9</v>
      </c>
      <c r="X311" s="726"/>
      <c r="Y311" s="715" t="s">
        <v>1561</v>
      </c>
    </row>
    <row r="312" spans="2:25" ht="25.5" x14ac:dyDescent="0.25">
      <c r="B312" s="1197"/>
      <c r="C312" s="1198"/>
      <c r="D312" s="1198"/>
      <c r="E312" s="1198"/>
      <c r="F312" s="731"/>
      <c r="G312" s="733" t="s">
        <v>144</v>
      </c>
      <c r="H312" s="734" t="s">
        <v>2196</v>
      </c>
      <c r="I312" s="735" t="s">
        <v>75</v>
      </c>
      <c r="J312" s="736"/>
      <c r="K312" s="736">
        <v>1</v>
      </c>
      <c r="L312" s="737">
        <v>24000</v>
      </c>
      <c r="M312" s="736">
        <v>1</v>
      </c>
      <c r="N312" s="738">
        <v>34000</v>
      </c>
      <c r="O312" s="736">
        <v>1</v>
      </c>
      <c r="P312" s="738">
        <v>35000</v>
      </c>
      <c r="Q312" s="736">
        <v>1</v>
      </c>
      <c r="R312" s="738">
        <v>40000</v>
      </c>
      <c r="S312" s="736">
        <v>1</v>
      </c>
      <c r="T312" s="738">
        <v>45000</v>
      </c>
      <c r="U312" s="736">
        <v>1</v>
      </c>
      <c r="V312" s="738">
        <v>50000</v>
      </c>
      <c r="W312" s="739">
        <v>5</v>
      </c>
      <c r="X312" s="738"/>
      <c r="Y312" s="715" t="s">
        <v>1561</v>
      </c>
    </row>
    <row r="313" spans="2:25" ht="12.75" customHeight="1" x14ac:dyDescent="0.25">
      <c r="B313" s="1197"/>
      <c r="C313" s="1198"/>
      <c r="D313" s="1198"/>
      <c r="E313" s="1198"/>
      <c r="F313" s="731"/>
      <c r="G313" s="720"/>
      <c r="H313" s="740" t="s">
        <v>2197</v>
      </c>
      <c r="I313" s="741" t="s">
        <v>75</v>
      </c>
      <c r="J313" s="742"/>
      <c r="K313" s="742" t="s">
        <v>324</v>
      </c>
      <c r="L313" s="743"/>
      <c r="M313" s="742" t="s">
        <v>324</v>
      </c>
      <c r="N313" s="744"/>
      <c r="O313" s="742" t="s">
        <v>324</v>
      </c>
      <c r="P313" s="744"/>
      <c r="Q313" s="742" t="s">
        <v>324</v>
      </c>
      <c r="R313" s="744"/>
      <c r="S313" s="742" t="s">
        <v>324</v>
      </c>
      <c r="T313" s="744"/>
      <c r="U313" s="742" t="s">
        <v>324</v>
      </c>
      <c r="V313" s="744"/>
      <c r="W313" s="745" t="s">
        <v>324</v>
      </c>
      <c r="X313" s="744"/>
      <c r="Y313" s="715" t="s">
        <v>1561</v>
      </c>
    </row>
    <row r="314" spans="2:25" ht="12.75" customHeight="1" x14ac:dyDescent="0.25">
      <c r="B314" s="1197"/>
      <c r="C314" s="1198"/>
      <c r="D314" s="1198"/>
      <c r="E314" s="1198"/>
      <c r="F314" s="731"/>
      <c r="G314" s="720"/>
      <c r="H314" s="746" t="s">
        <v>2198</v>
      </c>
      <c r="I314" s="747" t="s">
        <v>75</v>
      </c>
      <c r="J314" s="748"/>
      <c r="K314" s="748"/>
      <c r="L314" s="743"/>
      <c r="M314" s="748"/>
      <c r="N314" s="744"/>
      <c r="O314" s="748"/>
      <c r="P314" s="744"/>
      <c r="Q314" s="748"/>
      <c r="R314" s="744"/>
      <c r="S314" s="748"/>
      <c r="T314" s="744"/>
      <c r="U314" s="748"/>
      <c r="V314" s="744"/>
      <c r="W314" s="749"/>
      <c r="X314" s="744"/>
      <c r="Y314" s="715" t="s">
        <v>1561</v>
      </c>
    </row>
    <row r="315" spans="2:25" ht="12.75" customHeight="1" x14ac:dyDescent="0.25">
      <c r="B315" s="1197"/>
      <c r="C315" s="1198"/>
      <c r="D315" s="1198"/>
      <c r="E315" s="1198"/>
      <c r="F315" s="731"/>
      <c r="G315" s="720"/>
      <c r="H315" s="722" t="s">
        <v>2199</v>
      </c>
      <c r="I315" s="723" t="s">
        <v>75</v>
      </c>
      <c r="J315" s="724"/>
      <c r="K315" s="724"/>
      <c r="L315" s="743"/>
      <c r="M315" s="724"/>
      <c r="N315" s="744"/>
      <c r="O315" s="724"/>
      <c r="P315" s="744"/>
      <c r="Q315" s="724"/>
      <c r="R315" s="744"/>
      <c r="S315" s="724"/>
      <c r="T315" s="744"/>
      <c r="U315" s="724"/>
      <c r="V315" s="744"/>
      <c r="W315" s="719">
        <v>0</v>
      </c>
      <c r="X315" s="744"/>
      <c r="Y315" s="715" t="s">
        <v>1561</v>
      </c>
    </row>
    <row r="316" spans="2:25" ht="12.75" customHeight="1" x14ac:dyDescent="0.25">
      <c r="B316" s="1197"/>
      <c r="C316" s="1198"/>
      <c r="D316" s="1198"/>
      <c r="E316" s="1198"/>
      <c r="F316" s="731"/>
      <c r="G316" s="730"/>
      <c r="H316" s="722" t="s">
        <v>2200</v>
      </c>
      <c r="I316" s="723" t="s">
        <v>75</v>
      </c>
      <c r="J316" s="724"/>
      <c r="K316" s="724"/>
      <c r="L316" s="750"/>
      <c r="M316" s="724"/>
      <c r="N316" s="751"/>
      <c r="O316" s="724"/>
      <c r="P316" s="751"/>
      <c r="Q316" s="724"/>
      <c r="R316" s="751"/>
      <c r="S316" s="724"/>
      <c r="T316" s="751"/>
      <c r="U316" s="724"/>
      <c r="V316" s="751"/>
      <c r="W316" s="719">
        <v>0</v>
      </c>
      <c r="X316" s="751"/>
      <c r="Y316" s="715" t="s">
        <v>1561</v>
      </c>
    </row>
    <row r="317" spans="2:25" ht="25.5" x14ac:dyDescent="0.25">
      <c r="B317" s="1197"/>
      <c r="C317" s="1198"/>
      <c r="D317" s="1198"/>
      <c r="E317" s="1198"/>
      <c r="F317" s="731"/>
      <c r="G317" s="733" t="s">
        <v>149</v>
      </c>
      <c r="H317" s="722" t="s">
        <v>2201</v>
      </c>
      <c r="I317" s="723" t="s">
        <v>75</v>
      </c>
      <c r="J317" s="724"/>
      <c r="K317" s="724">
        <v>1</v>
      </c>
      <c r="L317" s="725">
        <v>52500</v>
      </c>
      <c r="M317" s="724">
        <v>1</v>
      </c>
      <c r="N317" s="726">
        <v>20000</v>
      </c>
      <c r="O317" s="724">
        <v>1</v>
      </c>
      <c r="P317" s="726">
        <v>57000</v>
      </c>
      <c r="Q317" s="724">
        <v>1</v>
      </c>
      <c r="R317" s="726">
        <v>60000</v>
      </c>
      <c r="S317" s="724">
        <v>1</v>
      </c>
      <c r="T317" s="726">
        <v>65000</v>
      </c>
      <c r="U317" s="724">
        <v>1</v>
      </c>
      <c r="V317" s="726">
        <v>65000</v>
      </c>
      <c r="W317" s="719">
        <v>5</v>
      </c>
      <c r="X317" s="726"/>
      <c r="Y317" s="715" t="s">
        <v>1561</v>
      </c>
    </row>
    <row r="318" spans="2:25" ht="12.75" customHeight="1" x14ac:dyDescent="0.25">
      <c r="B318" s="1197"/>
      <c r="C318" s="1198"/>
      <c r="D318" s="1198"/>
      <c r="E318" s="1198"/>
      <c r="F318" s="731"/>
      <c r="G318" s="720"/>
      <c r="H318" s="722" t="s">
        <v>2202</v>
      </c>
      <c r="I318" s="723" t="s">
        <v>75</v>
      </c>
      <c r="J318" s="724"/>
      <c r="K318" s="724" t="s">
        <v>324</v>
      </c>
      <c r="L318" s="725"/>
      <c r="M318" s="724" t="s">
        <v>324</v>
      </c>
      <c r="N318" s="726"/>
      <c r="O318" s="724" t="s">
        <v>324</v>
      </c>
      <c r="P318" s="726"/>
      <c r="Q318" s="724" t="s">
        <v>324</v>
      </c>
      <c r="R318" s="726"/>
      <c r="S318" s="724" t="s">
        <v>324</v>
      </c>
      <c r="T318" s="726"/>
      <c r="U318" s="724" t="s">
        <v>324</v>
      </c>
      <c r="V318" s="726"/>
      <c r="W318" s="719"/>
      <c r="X318" s="726"/>
      <c r="Y318" s="715" t="s">
        <v>1561</v>
      </c>
    </row>
    <row r="319" spans="2:25" ht="12.75" customHeight="1" x14ac:dyDescent="0.25">
      <c r="B319" s="1197"/>
      <c r="C319" s="1198"/>
      <c r="D319" s="1198"/>
      <c r="E319" s="1198"/>
      <c r="F319" s="731"/>
      <c r="G319" s="720"/>
      <c r="H319" s="722" t="s">
        <v>2203</v>
      </c>
      <c r="I319" s="723" t="s">
        <v>75</v>
      </c>
      <c r="J319" s="724"/>
      <c r="K319" s="724"/>
      <c r="L319" s="725"/>
      <c r="M319" s="724"/>
      <c r="N319" s="726"/>
      <c r="O319" s="724"/>
      <c r="P319" s="726"/>
      <c r="Q319" s="724"/>
      <c r="R319" s="726"/>
      <c r="S319" s="724"/>
      <c r="T319" s="726"/>
      <c r="U319" s="724"/>
      <c r="V319" s="726"/>
      <c r="W319" s="719">
        <v>0</v>
      </c>
      <c r="X319" s="726"/>
      <c r="Y319" s="715" t="s">
        <v>1561</v>
      </c>
    </row>
    <row r="320" spans="2:25" ht="12.75" customHeight="1" x14ac:dyDescent="0.25">
      <c r="B320" s="1197"/>
      <c r="C320" s="1198"/>
      <c r="D320" s="1198"/>
      <c r="E320" s="1198"/>
      <c r="F320" s="731"/>
      <c r="G320" s="720"/>
      <c r="H320" s="722" t="s">
        <v>2204</v>
      </c>
      <c r="I320" s="723" t="s">
        <v>75</v>
      </c>
      <c r="J320" s="724"/>
      <c r="K320" s="724"/>
      <c r="L320" s="725"/>
      <c r="M320" s="724"/>
      <c r="N320" s="726"/>
      <c r="O320" s="724"/>
      <c r="P320" s="726"/>
      <c r="Q320" s="724"/>
      <c r="R320" s="726"/>
      <c r="S320" s="724"/>
      <c r="T320" s="726"/>
      <c r="U320" s="724"/>
      <c r="V320" s="726"/>
      <c r="W320" s="719">
        <v>0</v>
      </c>
      <c r="X320" s="726"/>
      <c r="Y320" s="715" t="s">
        <v>1561</v>
      </c>
    </row>
    <row r="321" spans="2:25" ht="12.75" customHeight="1" x14ac:dyDescent="0.25">
      <c r="B321" s="1197"/>
      <c r="C321" s="1198"/>
      <c r="D321" s="1198"/>
      <c r="E321" s="1198"/>
      <c r="F321" s="731"/>
      <c r="G321" s="730"/>
      <c r="H321" s="722" t="s">
        <v>941</v>
      </c>
      <c r="I321" s="723" t="s">
        <v>75</v>
      </c>
      <c r="J321" s="724"/>
      <c r="K321" s="724"/>
      <c r="L321" s="725"/>
      <c r="M321" s="724"/>
      <c r="N321" s="726"/>
      <c r="O321" s="724"/>
      <c r="P321" s="726"/>
      <c r="Q321" s="724"/>
      <c r="R321" s="726"/>
      <c r="S321" s="724"/>
      <c r="T321" s="726"/>
      <c r="U321" s="724"/>
      <c r="V321" s="726"/>
      <c r="W321" s="719">
        <v>0</v>
      </c>
      <c r="X321" s="726"/>
      <c r="Y321" s="715" t="s">
        <v>1561</v>
      </c>
    </row>
    <row r="322" spans="2:25" ht="12.75" customHeight="1" x14ac:dyDescent="0.25">
      <c r="B322" s="1197"/>
      <c r="C322" s="1198"/>
      <c r="D322" s="1198"/>
      <c r="E322" s="1198"/>
      <c r="F322" s="731"/>
      <c r="G322" s="721" t="s">
        <v>531</v>
      </c>
      <c r="H322" s="722" t="s">
        <v>2205</v>
      </c>
      <c r="I322" s="723" t="s">
        <v>75</v>
      </c>
      <c r="J322" s="724"/>
      <c r="K322" s="724">
        <v>1</v>
      </c>
      <c r="L322" s="725">
        <v>65500</v>
      </c>
      <c r="M322" s="724">
        <v>1</v>
      </c>
      <c r="N322" s="726">
        <v>20000</v>
      </c>
      <c r="O322" s="724">
        <v>1</v>
      </c>
      <c r="P322" s="726">
        <v>25000</v>
      </c>
      <c r="Q322" s="724">
        <v>1</v>
      </c>
      <c r="R322" s="726">
        <v>30000</v>
      </c>
      <c r="S322" s="724">
        <v>1</v>
      </c>
      <c r="T322" s="726">
        <v>35000</v>
      </c>
      <c r="U322" s="724">
        <v>1</v>
      </c>
      <c r="V322" s="726">
        <v>40000</v>
      </c>
      <c r="W322" s="719">
        <v>5</v>
      </c>
      <c r="X322" s="726"/>
      <c r="Y322" s="715" t="s">
        <v>1561</v>
      </c>
    </row>
    <row r="323" spans="2:25" ht="12.75" customHeight="1" x14ac:dyDescent="0.25">
      <c r="B323" s="1197"/>
      <c r="C323" s="1198"/>
      <c r="D323" s="1198"/>
      <c r="E323" s="1198"/>
      <c r="F323" s="731"/>
      <c r="G323" s="721"/>
      <c r="H323" s="722" t="s">
        <v>2206</v>
      </c>
      <c r="I323" s="723" t="s">
        <v>75</v>
      </c>
      <c r="J323" s="724"/>
      <c r="K323" s="724" t="s">
        <v>324</v>
      </c>
      <c r="L323" s="725"/>
      <c r="M323" s="724" t="s">
        <v>324</v>
      </c>
      <c r="N323" s="726"/>
      <c r="O323" s="724" t="s">
        <v>324</v>
      </c>
      <c r="P323" s="726"/>
      <c r="Q323" s="724" t="s">
        <v>324</v>
      </c>
      <c r="R323" s="726"/>
      <c r="S323" s="724" t="s">
        <v>324</v>
      </c>
      <c r="T323" s="726"/>
      <c r="U323" s="724" t="s">
        <v>324</v>
      </c>
      <c r="V323" s="726"/>
      <c r="W323" s="719"/>
      <c r="X323" s="726"/>
      <c r="Y323" s="715" t="s">
        <v>1561</v>
      </c>
    </row>
    <row r="324" spans="2:25" ht="12.75" customHeight="1" x14ac:dyDescent="0.25">
      <c r="B324" s="1197"/>
      <c r="C324" s="1198"/>
      <c r="D324" s="1198"/>
      <c r="E324" s="1198"/>
      <c r="F324" s="731"/>
      <c r="G324" s="721"/>
      <c r="H324" s="722" t="s">
        <v>2207</v>
      </c>
      <c r="I324" s="723" t="s">
        <v>75</v>
      </c>
      <c r="J324" s="724"/>
      <c r="K324" s="724"/>
      <c r="L324" s="725"/>
      <c r="M324" s="724"/>
      <c r="N324" s="726"/>
      <c r="O324" s="724"/>
      <c r="P324" s="726"/>
      <c r="Q324" s="724"/>
      <c r="R324" s="726"/>
      <c r="S324" s="724"/>
      <c r="T324" s="726"/>
      <c r="U324" s="724"/>
      <c r="V324" s="726"/>
      <c r="W324" s="719">
        <v>0</v>
      </c>
      <c r="X324" s="726"/>
      <c r="Y324" s="715" t="s">
        <v>1561</v>
      </c>
    </row>
    <row r="325" spans="2:25" ht="12.75" customHeight="1" x14ac:dyDescent="0.25">
      <c r="B325" s="1197"/>
      <c r="C325" s="1198"/>
      <c r="D325" s="1198"/>
      <c r="E325" s="1198"/>
      <c r="F325" s="731"/>
      <c r="G325" s="721"/>
      <c r="H325" s="722" t="s">
        <v>2208</v>
      </c>
      <c r="I325" s="723" t="s">
        <v>75</v>
      </c>
      <c r="J325" s="724"/>
      <c r="K325" s="724"/>
      <c r="L325" s="725"/>
      <c r="M325" s="724"/>
      <c r="N325" s="726"/>
      <c r="O325" s="724"/>
      <c r="P325" s="726"/>
      <c r="Q325" s="724"/>
      <c r="R325" s="726"/>
      <c r="S325" s="724"/>
      <c r="T325" s="726"/>
      <c r="U325" s="724"/>
      <c r="V325" s="726"/>
      <c r="W325" s="719">
        <v>0</v>
      </c>
      <c r="X325" s="726"/>
      <c r="Y325" s="715" t="s">
        <v>1561</v>
      </c>
    </row>
    <row r="326" spans="2:25" ht="51" x14ac:dyDescent="0.25">
      <c r="B326" s="1197"/>
      <c r="C326" s="1198"/>
      <c r="D326" s="1198"/>
      <c r="E326" s="1198"/>
      <c r="F326" s="731"/>
      <c r="G326" s="721" t="s">
        <v>164</v>
      </c>
      <c r="H326" s="722" t="s">
        <v>2209</v>
      </c>
      <c r="I326" s="723" t="s">
        <v>40</v>
      </c>
      <c r="J326" s="724"/>
      <c r="K326" s="724">
        <v>12</v>
      </c>
      <c r="L326" s="725">
        <v>50000</v>
      </c>
      <c r="M326" s="724">
        <v>12</v>
      </c>
      <c r="N326" s="726">
        <v>40000</v>
      </c>
      <c r="O326" s="724">
        <v>12</v>
      </c>
      <c r="P326" s="726">
        <v>55000</v>
      </c>
      <c r="Q326" s="724">
        <v>12</v>
      </c>
      <c r="R326" s="726">
        <v>60000</v>
      </c>
      <c r="S326" s="724">
        <v>12</v>
      </c>
      <c r="T326" s="726">
        <v>65000</v>
      </c>
      <c r="U326" s="724">
        <v>12</v>
      </c>
      <c r="V326" s="726">
        <v>65000</v>
      </c>
      <c r="W326" s="719">
        <v>60</v>
      </c>
      <c r="X326" s="726"/>
      <c r="Y326" s="715" t="s">
        <v>1561</v>
      </c>
    </row>
    <row r="327" spans="2:25" ht="51" x14ac:dyDescent="0.25">
      <c r="B327" s="1197"/>
      <c r="C327" s="1198"/>
      <c r="D327" s="1198"/>
      <c r="E327" s="1198"/>
      <c r="F327" s="731"/>
      <c r="G327" s="721" t="s">
        <v>73</v>
      </c>
      <c r="H327" s="722" t="s">
        <v>2210</v>
      </c>
      <c r="I327" s="723" t="s">
        <v>311</v>
      </c>
      <c r="J327" s="724"/>
      <c r="K327" s="724">
        <v>2</v>
      </c>
      <c r="L327" s="725">
        <v>3000</v>
      </c>
      <c r="M327" s="724">
        <v>2</v>
      </c>
      <c r="N327" s="726">
        <v>3000</v>
      </c>
      <c r="O327" s="724">
        <v>2</v>
      </c>
      <c r="P327" s="726">
        <v>3700</v>
      </c>
      <c r="Q327" s="724">
        <v>2</v>
      </c>
      <c r="R327" s="726">
        <v>4000</v>
      </c>
      <c r="S327" s="724">
        <v>2</v>
      </c>
      <c r="T327" s="726">
        <v>4500</v>
      </c>
      <c r="U327" s="724">
        <v>2</v>
      </c>
      <c r="V327" s="726">
        <v>4500</v>
      </c>
      <c r="W327" s="719">
        <v>10</v>
      </c>
      <c r="X327" s="726"/>
      <c r="Y327" s="715" t="s">
        <v>1561</v>
      </c>
    </row>
    <row r="328" spans="2:25" ht="96" x14ac:dyDescent="0.25">
      <c r="B328" s="1197"/>
      <c r="C328" s="1198"/>
      <c r="D328" s="1198"/>
      <c r="E328" s="1198"/>
      <c r="F328" s="716"/>
      <c r="G328" s="709" t="s">
        <v>77</v>
      </c>
      <c r="H328" s="709" t="s">
        <v>3194</v>
      </c>
      <c r="I328" s="710" t="s">
        <v>79</v>
      </c>
      <c r="J328" s="717">
        <v>25</v>
      </c>
      <c r="K328" s="717">
        <v>5</v>
      </c>
      <c r="L328" s="718">
        <f>SUM(L329)</f>
        <v>48319</v>
      </c>
      <c r="M328" s="717">
        <v>5</v>
      </c>
      <c r="N328" s="718">
        <f>SUM(N329)</f>
        <v>48357</v>
      </c>
      <c r="O328" s="717">
        <v>5</v>
      </c>
      <c r="P328" s="718">
        <f>SUM(P329)</f>
        <v>52000</v>
      </c>
      <c r="Q328" s="717">
        <v>5</v>
      </c>
      <c r="R328" s="718">
        <f>SUM(R329)</f>
        <v>55000</v>
      </c>
      <c r="S328" s="717">
        <v>5</v>
      </c>
      <c r="T328" s="718">
        <f>SUM(T329)</f>
        <v>57000</v>
      </c>
      <c r="U328" s="717">
        <v>5</v>
      </c>
      <c r="V328" s="718">
        <f>SUM(V329)</f>
        <v>57000</v>
      </c>
      <c r="W328" s="719">
        <v>30</v>
      </c>
      <c r="X328" s="714"/>
      <c r="Y328" s="715" t="s">
        <v>1561</v>
      </c>
    </row>
    <row r="329" spans="2:25" ht="38.25" x14ac:dyDescent="0.25">
      <c r="B329" s="1197"/>
      <c r="C329" s="1198"/>
      <c r="D329" s="1198"/>
      <c r="E329" s="1198"/>
      <c r="F329" s="716"/>
      <c r="G329" s="721" t="s">
        <v>2211</v>
      </c>
      <c r="H329" s="722" t="s">
        <v>2212</v>
      </c>
      <c r="I329" s="723" t="s">
        <v>79</v>
      </c>
      <c r="J329" s="724"/>
      <c r="K329" s="724">
        <v>5</v>
      </c>
      <c r="L329" s="725">
        <v>48319</v>
      </c>
      <c r="M329" s="724">
        <v>5</v>
      </c>
      <c r="N329" s="726">
        <v>48357</v>
      </c>
      <c r="O329" s="724">
        <v>5</v>
      </c>
      <c r="P329" s="726">
        <v>52000</v>
      </c>
      <c r="Q329" s="724">
        <v>5</v>
      </c>
      <c r="R329" s="726">
        <v>55000</v>
      </c>
      <c r="S329" s="724">
        <v>5</v>
      </c>
      <c r="T329" s="726">
        <v>57000</v>
      </c>
      <c r="U329" s="724">
        <v>5</v>
      </c>
      <c r="V329" s="726">
        <v>57000</v>
      </c>
      <c r="W329" s="719"/>
      <c r="X329" s="726"/>
      <c r="Y329" s="715" t="s">
        <v>1561</v>
      </c>
    </row>
    <row r="330" spans="2:25" ht="60" x14ac:dyDescent="0.25">
      <c r="B330" s="1197"/>
      <c r="C330" s="1198"/>
      <c r="D330" s="1198"/>
      <c r="E330" s="1198"/>
      <c r="F330" s="716"/>
      <c r="G330" s="709" t="s">
        <v>1646</v>
      </c>
      <c r="H330" s="709" t="s">
        <v>3111</v>
      </c>
      <c r="I330" s="710" t="s">
        <v>79</v>
      </c>
      <c r="J330" s="717">
        <v>0</v>
      </c>
      <c r="K330" s="717">
        <v>1</v>
      </c>
      <c r="L330" s="718">
        <f>SUM(L331)</f>
        <v>16000</v>
      </c>
      <c r="M330" s="717">
        <v>1</v>
      </c>
      <c r="N330" s="718">
        <f>SUM(N331)</f>
        <v>16000</v>
      </c>
      <c r="O330" s="717">
        <v>1</v>
      </c>
      <c r="P330" s="718">
        <f>SUM(P331)</f>
        <v>18000</v>
      </c>
      <c r="Q330" s="717">
        <v>1</v>
      </c>
      <c r="R330" s="718">
        <f>SUM(R331)</f>
        <v>20000</v>
      </c>
      <c r="S330" s="717">
        <v>1</v>
      </c>
      <c r="T330" s="718">
        <f>SUM(T331)</f>
        <v>22000</v>
      </c>
      <c r="U330" s="717">
        <v>1</v>
      </c>
      <c r="V330" s="718">
        <f>SUM(V331)</f>
        <v>22000</v>
      </c>
      <c r="W330" s="719">
        <v>6</v>
      </c>
      <c r="X330" s="714"/>
      <c r="Y330" s="715" t="s">
        <v>1561</v>
      </c>
    </row>
    <row r="331" spans="2:25" ht="76.5" x14ac:dyDescent="0.25">
      <c r="B331" s="1197"/>
      <c r="C331" s="1198"/>
      <c r="D331" s="1198"/>
      <c r="E331" s="1198"/>
      <c r="F331" s="720"/>
      <c r="G331" s="722" t="s">
        <v>169</v>
      </c>
      <c r="H331" s="722" t="s">
        <v>2213</v>
      </c>
      <c r="I331" s="723" t="s">
        <v>79</v>
      </c>
      <c r="J331" s="724"/>
      <c r="K331" s="724">
        <v>1</v>
      </c>
      <c r="L331" s="725">
        <v>16000</v>
      </c>
      <c r="M331" s="724">
        <v>1</v>
      </c>
      <c r="N331" s="726">
        <v>16000</v>
      </c>
      <c r="O331" s="724">
        <v>1</v>
      </c>
      <c r="P331" s="726">
        <v>18000</v>
      </c>
      <c r="Q331" s="724">
        <v>1</v>
      </c>
      <c r="R331" s="726">
        <v>20000</v>
      </c>
      <c r="S331" s="724">
        <v>1</v>
      </c>
      <c r="T331" s="726">
        <v>22000</v>
      </c>
      <c r="U331" s="724">
        <v>1</v>
      </c>
      <c r="V331" s="726">
        <v>22000</v>
      </c>
      <c r="W331" s="719"/>
      <c r="X331" s="726"/>
      <c r="Y331" s="715" t="s">
        <v>1561</v>
      </c>
    </row>
    <row r="332" spans="2:25" ht="36" x14ac:dyDescent="0.25">
      <c r="B332" s="1197"/>
      <c r="C332" s="1198"/>
      <c r="D332" s="1198"/>
      <c r="E332" s="1198"/>
      <c r="F332" s="716"/>
      <c r="G332" s="709" t="s">
        <v>688</v>
      </c>
      <c r="H332" s="227" t="s">
        <v>687</v>
      </c>
      <c r="I332" s="710" t="s">
        <v>19</v>
      </c>
      <c r="J332" s="717">
        <v>100</v>
      </c>
      <c r="K332" s="717">
        <v>100</v>
      </c>
      <c r="L332" s="718">
        <f>SUM(L333)</f>
        <v>238003</v>
      </c>
      <c r="M332" s="717">
        <v>100</v>
      </c>
      <c r="N332" s="718">
        <f>SUM(N333)</f>
        <v>238500</v>
      </c>
      <c r="O332" s="717">
        <v>100</v>
      </c>
      <c r="P332" s="718">
        <f>SUM(P333)</f>
        <v>24500</v>
      </c>
      <c r="Q332" s="717">
        <v>100</v>
      </c>
      <c r="R332" s="718">
        <f>SUM(R333)</f>
        <v>250000</v>
      </c>
      <c r="S332" s="717">
        <v>100</v>
      </c>
      <c r="T332" s="718">
        <f>SUM(T333)</f>
        <v>255000</v>
      </c>
      <c r="U332" s="717">
        <v>100</v>
      </c>
      <c r="V332" s="718">
        <f>SUM(V333)</f>
        <v>255000</v>
      </c>
      <c r="W332" s="719">
        <v>100</v>
      </c>
      <c r="X332" s="714"/>
      <c r="Y332" s="715" t="s">
        <v>1561</v>
      </c>
    </row>
    <row r="333" spans="2:25" ht="89.25" x14ac:dyDescent="0.25">
      <c r="B333" s="1197"/>
      <c r="C333" s="1198"/>
      <c r="D333" s="1198"/>
      <c r="E333" s="1198"/>
      <c r="F333" s="720"/>
      <c r="G333" s="722" t="s">
        <v>2155</v>
      </c>
      <c r="H333" s="722" t="s">
        <v>2156</v>
      </c>
      <c r="I333" s="723" t="s">
        <v>1565</v>
      </c>
      <c r="J333" s="724"/>
      <c r="K333" s="724">
        <v>8</v>
      </c>
      <c r="L333" s="725">
        <v>238003</v>
      </c>
      <c r="M333" s="724">
        <v>8</v>
      </c>
      <c r="N333" s="726">
        <v>238500</v>
      </c>
      <c r="O333" s="724">
        <v>8</v>
      </c>
      <c r="P333" s="726">
        <v>24500</v>
      </c>
      <c r="Q333" s="724">
        <v>8</v>
      </c>
      <c r="R333" s="726">
        <v>250000</v>
      </c>
      <c r="S333" s="724">
        <v>8</v>
      </c>
      <c r="T333" s="726">
        <v>255000</v>
      </c>
      <c r="U333" s="724">
        <v>8</v>
      </c>
      <c r="V333" s="726">
        <v>255000</v>
      </c>
      <c r="W333" s="728">
        <v>40</v>
      </c>
      <c r="X333" s="726"/>
      <c r="Y333" s="715" t="s">
        <v>1561</v>
      </c>
    </row>
    <row r="334" spans="2:25" ht="36" x14ac:dyDescent="0.25">
      <c r="B334" s="1197"/>
      <c r="C334" s="1198"/>
      <c r="D334" s="1198"/>
      <c r="E334" s="1198"/>
      <c r="F334" s="716"/>
      <c r="G334" s="709" t="s">
        <v>3193</v>
      </c>
      <c r="H334" s="709" t="s">
        <v>3195</v>
      </c>
      <c r="I334" s="710" t="s">
        <v>79</v>
      </c>
      <c r="J334" s="717">
        <v>0</v>
      </c>
      <c r="K334" s="717">
        <v>0</v>
      </c>
      <c r="L334" s="718">
        <f>SUM(L335)</f>
        <v>0</v>
      </c>
      <c r="M334" s="717">
        <v>1</v>
      </c>
      <c r="N334" s="718">
        <f>SUM(N335)</f>
        <v>60000</v>
      </c>
      <c r="O334" s="717">
        <v>0</v>
      </c>
      <c r="P334" s="718">
        <f>SUM(P335)</f>
        <v>0</v>
      </c>
      <c r="Q334" s="717">
        <v>0</v>
      </c>
      <c r="R334" s="718">
        <f>SUM(R335)</f>
        <v>0</v>
      </c>
      <c r="S334" s="717">
        <v>0</v>
      </c>
      <c r="T334" s="718">
        <f>SUM(T335)</f>
        <v>0</v>
      </c>
      <c r="U334" s="717">
        <v>0</v>
      </c>
      <c r="V334" s="718">
        <f>SUM(V335)</f>
        <v>0</v>
      </c>
      <c r="W334" s="719">
        <v>1</v>
      </c>
      <c r="X334" s="714"/>
      <c r="Y334" s="715" t="s">
        <v>1561</v>
      </c>
    </row>
    <row r="335" spans="2:25" ht="38.25" x14ac:dyDescent="0.25">
      <c r="B335" s="1197"/>
      <c r="C335" s="1198"/>
      <c r="D335" s="1198"/>
      <c r="E335" s="1198"/>
      <c r="F335" s="720"/>
      <c r="G335" s="721" t="s">
        <v>2169</v>
      </c>
      <c r="H335" s="721" t="s">
        <v>2170</v>
      </c>
      <c r="I335" s="723" t="s">
        <v>79</v>
      </c>
      <c r="J335" s="724"/>
      <c r="K335" s="724">
        <v>0</v>
      </c>
      <c r="L335" s="725">
        <v>0</v>
      </c>
      <c r="M335" s="724">
        <v>1</v>
      </c>
      <c r="N335" s="726">
        <v>60000</v>
      </c>
      <c r="O335" s="724">
        <v>0</v>
      </c>
      <c r="P335" s="726"/>
      <c r="Q335" s="724">
        <v>0</v>
      </c>
      <c r="R335" s="726"/>
      <c r="S335" s="724">
        <v>0</v>
      </c>
      <c r="T335" s="726"/>
      <c r="U335" s="724">
        <v>0</v>
      </c>
      <c r="V335" s="726"/>
      <c r="W335" s="728">
        <v>1</v>
      </c>
      <c r="X335" s="726"/>
      <c r="Y335" s="715" t="s">
        <v>1561</v>
      </c>
    </row>
    <row r="336" spans="2:25" ht="13.5" thickBot="1" x14ac:dyDescent="0.3">
      <c r="B336" s="752"/>
      <c r="C336" s="753"/>
      <c r="D336" s="753"/>
      <c r="E336" s="753"/>
      <c r="F336" s="753"/>
      <c r="G336" s="754"/>
      <c r="H336" s="754"/>
      <c r="I336" s="754"/>
      <c r="J336" s="755"/>
      <c r="K336" s="755"/>
      <c r="L336" s="1804">
        <f>SUM(L254:L335)/2</f>
        <v>9659780</v>
      </c>
      <c r="M336" s="755"/>
      <c r="N336" s="1804">
        <f>SUM(N254:N335)/2</f>
        <v>24741203</v>
      </c>
      <c r="O336" s="755"/>
      <c r="P336" s="1804">
        <f>SUM(P254:P335)/2</f>
        <v>39358450</v>
      </c>
      <c r="Q336" s="755"/>
      <c r="R336" s="712">
        <f>SUM(R254:R335)/2</f>
        <v>26889055</v>
      </c>
      <c r="S336" s="755"/>
      <c r="T336" s="712">
        <f>SUM(T254:T335)/2</f>
        <v>28608460</v>
      </c>
      <c r="U336" s="755"/>
      <c r="V336" s="712">
        <f>SUM(V254:V335)/2</f>
        <v>30315160</v>
      </c>
      <c r="W336" s="756"/>
      <c r="X336" s="757"/>
      <c r="Y336" s="758"/>
    </row>
    <row r="337" spans="2:25" ht="13.5" thickTop="1" x14ac:dyDescent="0.25">
      <c r="L337" s="875"/>
    </row>
    <row r="338" spans="2:25" ht="13.5" thickBot="1" x14ac:dyDescent="0.3">
      <c r="B338" s="219" t="s">
        <v>1519</v>
      </c>
    </row>
    <row r="339" spans="2:25" s="219" customFormat="1" thickTop="1" x14ac:dyDescent="0.2">
      <c r="B339" s="1932" t="s">
        <v>1</v>
      </c>
      <c r="C339" s="1934" t="s">
        <v>2</v>
      </c>
      <c r="D339" s="1934" t="s">
        <v>3</v>
      </c>
      <c r="E339" s="1934" t="s">
        <v>4</v>
      </c>
      <c r="F339" s="1934" t="s">
        <v>5</v>
      </c>
      <c r="G339" s="1934" t="s">
        <v>6</v>
      </c>
      <c r="H339" s="1934" t="s">
        <v>1854</v>
      </c>
      <c r="I339" s="1934" t="s">
        <v>31</v>
      </c>
      <c r="J339" s="1936" t="s">
        <v>1855</v>
      </c>
      <c r="K339" s="1934" t="s">
        <v>7</v>
      </c>
      <c r="L339" s="1934"/>
      <c r="M339" s="1934"/>
      <c r="N339" s="1934"/>
      <c r="O339" s="1934"/>
      <c r="P339" s="1934"/>
      <c r="Q339" s="1934"/>
      <c r="R339" s="1934"/>
      <c r="S339" s="1934"/>
      <c r="T339" s="1934"/>
      <c r="U339" s="1934"/>
      <c r="V339" s="1934"/>
      <c r="W339" s="1934"/>
      <c r="X339" s="1934" t="s">
        <v>8</v>
      </c>
      <c r="Y339" s="1938" t="s">
        <v>1856</v>
      </c>
    </row>
    <row r="340" spans="2:25" s="219" customFormat="1" ht="12" x14ac:dyDescent="0.2">
      <c r="B340" s="1933"/>
      <c r="C340" s="1935"/>
      <c r="D340" s="1935"/>
      <c r="E340" s="1935"/>
      <c r="F340" s="1935"/>
      <c r="G340" s="1935"/>
      <c r="H340" s="1935"/>
      <c r="I340" s="1935"/>
      <c r="J340" s="1937"/>
      <c r="K340" s="1935">
        <v>2016</v>
      </c>
      <c r="L340" s="1935"/>
      <c r="M340" s="1935">
        <v>2017</v>
      </c>
      <c r="N340" s="1935"/>
      <c r="O340" s="1935">
        <v>2018</v>
      </c>
      <c r="P340" s="1935"/>
      <c r="Q340" s="1935">
        <v>2019</v>
      </c>
      <c r="R340" s="1935"/>
      <c r="S340" s="1935">
        <v>2020</v>
      </c>
      <c r="T340" s="1935"/>
      <c r="U340" s="1935">
        <v>2021</v>
      </c>
      <c r="V340" s="1935"/>
      <c r="W340" s="1940" t="s">
        <v>1857</v>
      </c>
      <c r="X340" s="1935"/>
      <c r="Y340" s="1939"/>
    </row>
    <row r="341" spans="2:25" s="219" customFormat="1" ht="12" x14ac:dyDescent="0.2">
      <c r="B341" s="1933"/>
      <c r="C341" s="1935"/>
      <c r="D341" s="1935"/>
      <c r="E341" s="1935"/>
      <c r="F341" s="1935"/>
      <c r="G341" s="1935"/>
      <c r="H341" s="1935"/>
      <c r="I341" s="1935"/>
      <c r="J341" s="1937"/>
      <c r="K341" s="707" t="s">
        <v>1858</v>
      </c>
      <c r="L341" s="1889" t="s">
        <v>1355</v>
      </c>
      <c r="M341" s="844" t="s">
        <v>1858</v>
      </c>
      <c r="N341" s="1889" t="s">
        <v>1355</v>
      </c>
      <c r="O341" s="844" t="s">
        <v>1858</v>
      </c>
      <c r="P341" s="1889" t="s">
        <v>1355</v>
      </c>
      <c r="Q341" s="844" t="s">
        <v>1858</v>
      </c>
      <c r="R341" s="1889" t="s">
        <v>1355</v>
      </c>
      <c r="S341" s="844" t="s">
        <v>1858</v>
      </c>
      <c r="T341" s="1889" t="s">
        <v>1355</v>
      </c>
      <c r="U341" s="844" t="s">
        <v>1858</v>
      </c>
      <c r="V341" s="1889" t="s">
        <v>1355</v>
      </c>
      <c r="W341" s="1940"/>
      <c r="X341" s="1935"/>
      <c r="Y341" s="1939"/>
    </row>
    <row r="342" spans="2:25" s="1236" customFormat="1" ht="48" customHeight="1" x14ac:dyDescent="0.25">
      <c r="B342" s="2035" t="s">
        <v>4017</v>
      </c>
      <c r="C342" s="1954" t="s">
        <v>1520</v>
      </c>
      <c r="D342" s="1954" t="s">
        <v>3198</v>
      </c>
      <c r="E342" s="1954" t="s">
        <v>3199</v>
      </c>
      <c r="F342" s="2009" t="s">
        <v>1517</v>
      </c>
      <c r="G342" s="1802" t="s">
        <v>3196</v>
      </c>
      <c r="H342" s="1803" t="s">
        <v>1517</v>
      </c>
      <c r="I342" s="897" t="s">
        <v>19</v>
      </c>
      <c r="J342" s="898">
        <f>11/210*100</f>
        <v>5.2380952380952381</v>
      </c>
      <c r="K342" s="898">
        <f>(J343+K343)/210*100</f>
        <v>8.0952380952380949</v>
      </c>
      <c r="L342" s="899"/>
      <c r="M342" s="898">
        <f>(M343+K343+J343)/210*100</f>
        <v>10.952380952380953</v>
      </c>
      <c r="N342" s="899"/>
      <c r="O342" s="898">
        <f>(O343+M343+K343+J343)/210*100</f>
        <v>13.80952380952381</v>
      </c>
      <c r="P342" s="899"/>
      <c r="Q342" s="898">
        <f>(J343+K343+M343+O343+Q343)/210*100</f>
        <v>17.142857142857142</v>
      </c>
      <c r="R342" s="899"/>
      <c r="S342" s="898">
        <f>(J343+K343+M343+O343+Q343+S343)/210*100</f>
        <v>20.952380952380953</v>
      </c>
      <c r="T342" s="899"/>
      <c r="U342" s="898">
        <f>(J343+K343+M343+O343+Q343+S343+U343)/210*100</f>
        <v>25.238095238095237</v>
      </c>
      <c r="V342" s="899"/>
      <c r="W342" s="900">
        <f>W343/210*100</f>
        <v>25.238095238095237</v>
      </c>
      <c r="X342" s="901"/>
      <c r="Y342" s="902" t="s">
        <v>1519</v>
      </c>
    </row>
    <row r="343" spans="2:25" ht="36" x14ac:dyDescent="0.25">
      <c r="B343" s="2036"/>
      <c r="C343" s="1955"/>
      <c r="D343" s="1955"/>
      <c r="E343" s="1955"/>
      <c r="F343" s="2010"/>
      <c r="G343" s="957" t="s">
        <v>1518</v>
      </c>
      <c r="H343" s="958" t="s">
        <v>3197</v>
      </c>
      <c r="I343" s="897" t="s">
        <v>97</v>
      </c>
      <c r="J343" s="898">
        <v>11</v>
      </c>
      <c r="K343" s="898">
        <v>6</v>
      </c>
      <c r="L343" s="899">
        <f>SUM(L344:L357)</f>
        <v>1112755</v>
      </c>
      <c r="M343" s="898">
        <v>6</v>
      </c>
      <c r="N343" s="899">
        <f>SUM(N344:N357)</f>
        <v>2060000</v>
      </c>
      <c r="O343" s="898">
        <v>6</v>
      </c>
      <c r="P343" s="899">
        <f>SUM(P344:P357)</f>
        <v>2104000</v>
      </c>
      <c r="Q343" s="898">
        <v>7</v>
      </c>
      <c r="R343" s="899">
        <f>SUM(R344:R357)</f>
        <v>2216400</v>
      </c>
      <c r="S343" s="898">
        <v>8</v>
      </c>
      <c r="T343" s="899">
        <f>SUM(T344:T357)</f>
        <v>2262540</v>
      </c>
      <c r="U343" s="898">
        <v>9</v>
      </c>
      <c r="V343" s="899">
        <f>SUM(V344:V357)</f>
        <v>2497794</v>
      </c>
      <c r="W343" s="900">
        <f>J343+K343+M343+O343+Q343+S343+U343</f>
        <v>53</v>
      </c>
      <c r="X343" s="901"/>
      <c r="Y343" s="902" t="s">
        <v>1519</v>
      </c>
    </row>
    <row r="344" spans="2:25" ht="51" x14ac:dyDescent="0.25">
      <c r="B344" s="2036"/>
      <c r="C344" s="1955"/>
      <c r="D344" s="1955"/>
      <c r="E344" s="1955"/>
      <c r="F344" s="2010"/>
      <c r="G344" s="760" t="s">
        <v>3182</v>
      </c>
      <c r="H344" s="761" t="s">
        <v>2214</v>
      </c>
      <c r="I344" s="762" t="s">
        <v>103</v>
      </c>
      <c r="J344" s="763"/>
      <c r="K344" s="766">
        <v>2</v>
      </c>
      <c r="L344" s="764">
        <v>200000</v>
      </c>
      <c r="M344" s="763">
        <v>2</v>
      </c>
      <c r="N344" s="764">
        <v>150000</v>
      </c>
      <c r="O344" s="763">
        <v>2</v>
      </c>
      <c r="P344" s="764">
        <v>165000</v>
      </c>
      <c r="Q344" s="763">
        <v>2</v>
      </c>
      <c r="R344" s="764">
        <v>181500</v>
      </c>
      <c r="S344" s="763">
        <v>2</v>
      </c>
      <c r="T344" s="764">
        <v>199650</v>
      </c>
      <c r="U344" s="763">
        <v>1</v>
      </c>
      <c r="V344" s="764">
        <v>219615</v>
      </c>
      <c r="W344" s="904"/>
      <c r="X344" s="765"/>
      <c r="Y344" s="902" t="s">
        <v>1519</v>
      </c>
    </row>
    <row r="345" spans="2:25" ht="89.25" x14ac:dyDescent="0.25">
      <c r="B345" s="2036"/>
      <c r="C345" s="771"/>
      <c r="D345" s="771"/>
      <c r="E345" s="771"/>
      <c r="F345" s="903"/>
      <c r="G345" s="760" t="s">
        <v>2215</v>
      </c>
      <c r="H345" s="905" t="s">
        <v>2216</v>
      </c>
      <c r="I345" s="906" t="s">
        <v>69</v>
      </c>
      <c r="J345" s="763"/>
      <c r="K345" s="763">
        <v>1</v>
      </c>
      <c r="L345" s="764">
        <v>100000</v>
      </c>
      <c r="M345" s="763">
        <v>1</v>
      </c>
      <c r="N345" s="764">
        <v>110000</v>
      </c>
      <c r="O345" s="763">
        <v>1</v>
      </c>
      <c r="P345" s="764">
        <v>121000</v>
      </c>
      <c r="Q345" s="763">
        <v>1</v>
      </c>
      <c r="R345" s="764">
        <v>133100</v>
      </c>
      <c r="S345" s="763">
        <v>1</v>
      </c>
      <c r="T345" s="764">
        <v>146410</v>
      </c>
      <c r="U345" s="763">
        <v>1</v>
      </c>
      <c r="V345" s="764">
        <v>161051</v>
      </c>
      <c r="W345" s="904"/>
      <c r="X345" s="765"/>
      <c r="Y345" s="902" t="s">
        <v>1519</v>
      </c>
    </row>
    <row r="346" spans="2:25" ht="63.75" x14ac:dyDescent="0.25">
      <c r="B346" s="2036"/>
      <c r="C346" s="771"/>
      <c r="D346" s="771"/>
      <c r="E346" s="771"/>
      <c r="F346" s="903"/>
      <c r="G346" s="760" t="s">
        <v>2217</v>
      </c>
      <c r="H346" s="761" t="s">
        <v>2218</v>
      </c>
      <c r="I346" s="762" t="s">
        <v>103</v>
      </c>
      <c r="J346" s="763"/>
      <c r="K346" s="763">
        <v>2</v>
      </c>
      <c r="L346" s="764">
        <v>120000</v>
      </c>
      <c r="M346" s="763">
        <v>1</v>
      </c>
      <c r="N346" s="764">
        <v>80000</v>
      </c>
      <c r="O346" s="763">
        <v>1</v>
      </c>
      <c r="P346" s="764">
        <v>88000</v>
      </c>
      <c r="Q346" s="763">
        <v>1</v>
      </c>
      <c r="R346" s="764">
        <v>96800</v>
      </c>
      <c r="S346" s="763">
        <v>1</v>
      </c>
      <c r="T346" s="764">
        <v>106480</v>
      </c>
      <c r="U346" s="763">
        <v>1</v>
      </c>
      <c r="V346" s="764">
        <v>117128</v>
      </c>
      <c r="W346" s="904"/>
      <c r="X346" s="765"/>
      <c r="Y346" s="902" t="s">
        <v>1519</v>
      </c>
    </row>
    <row r="347" spans="2:25" ht="63.75" x14ac:dyDescent="0.25">
      <c r="B347" s="1769"/>
      <c r="C347" s="771"/>
      <c r="D347" s="771"/>
      <c r="E347" s="771"/>
      <c r="F347" s="903"/>
      <c r="G347" s="760" t="s">
        <v>2219</v>
      </c>
      <c r="H347" s="761" t="s">
        <v>2220</v>
      </c>
      <c r="I347" s="762" t="s">
        <v>2221</v>
      </c>
      <c r="J347" s="763"/>
      <c r="K347" s="907">
        <v>4</v>
      </c>
      <c r="L347" s="908">
        <v>100000</v>
      </c>
      <c r="M347" s="763">
        <v>4</v>
      </c>
      <c r="N347" s="764">
        <v>100000</v>
      </c>
      <c r="O347" s="907">
        <v>4</v>
      </c>
      <c r="P347" s="908">
        <v>100000</v>
      </c>
      <c r="Q347" s="763">
        <v>4</v>
      </c>
      <c r="R347" s="764">
        <v>100000</v>
      </c>
      <c r="S347" s="763">
        <v>4</v>
      </c>
      <c r="T347" s="764">
        <v>100000</v>
      </c>
      <c r="U347" s="763">
        <v>4</v>
      </c>
      <c r="V347" s="764">
        <v>100000</v>
      </c>
      <c r="W347" s="904"/>
      <c r="X347" s="765"/>
      <c r="Y347" s="902" t="s">
        <v>1519</v>
      </c>
    </row>
    <row r="348" spans="2:25" ht="63.75" x14ac:dyDescent="0.25">
      <c r="B348" s="1769"/>
      <c r="C348" s="771"/>
      <c r="D348" s="771"/>
      <c r="E348" s="771"/>
      <c r="F348" s="903"/>
      <c r="G348" s="760" t="s">
        <v>2222</v>
      </c>
      <c r="H348" s="905" t="s">
        <v>2223</v>
      </c>
      <c r="I348" s="906" t="s">
        <v>2224</v>
      </c>
      <c r="J348" s="763"/>
      <c r="K348" s="907">
        <v>1540</v>
      </c>
      <c r="L348" s="908">
        <v>300000</v>
      </c>
      <c r="M348" s="763">
        <v>4000</v>
      </c>
      <c r="N348" s="764">
        <v>700000</v>
      </c>
      <c r="O348" s="763">
        <v>4000</v>
      </c>
      <c r="P348" s="764">
        <v>700000</v>
      </c>
      <c r="Q348" s="763">
        <v>4000</v>
      </c>
      <c r="R348" s="764">
        <v>700000</v>
      </c>
      <c r="S348" s="763">
        <v>4000</v>
      </c>
      <c r="T348" s="764">
        <v>700000</v>
      </c>
      <c r="U348" s="763">
        <v>4000</v>
      </c>
      <c r="V348" s="764">
        <v>700000</v>
      </c>
      <c r="W348" s="904"/>
      <c r="X348" s="765"/>
      <c r="Y348" s="902" t="s">
        <v>1519</v>
      </c>
    </row>
    <row r="349" spans="2:25" ht="51" x14ac:dyDescent="0.25">
      <c r="B349" s="1769"/>
      <c r="C349" s="771"/>
      <c r="D349" s="771"/>
      <c r="E349" s="771"/>
      <c r="F349" s="903"/>
      <c r="G349" s="760" t="s">
        <v>2225</v>
      </c>
      <c r="H349" s="761" t="s">
        <v>2226</v>
      </c>
      <c r="I349" s="762" t="s">
        <v>103</v>
      </c>
      <c r="J349" s="763"/>
      <c r="K349" s="763">
        <v>1</v>
      </c>
      <c r="L349" s="764">
        <v>100000</v>
      </c>
      <c r="M349" s="763">
        <v>1</v>
      </c>
      <c r="N349" s="764">
        <v>110000</v>
      </c>
      <c r="O349" s="763">
        <v>1</v>
      </c>
      <c r="P349" s="764">
        <v>120000</v>
      </c>
      <c r="Q349" s="763">
        <v>1</v>
      </c>
      <c r="R349" s="764">
        <v>125000</v>
      </c>
      <c r="S349" s="763">
        <v>1</v>
      </c>
      <c r="T349" s="764">
        <v>130000</v>
      </c>
      <c r="U349" s="763">
        <v>1</v>
      </c>
      <c r="V349" s="764">
        <v>135000</v>
      </c>
      <c r="W349" s="904"/>
      <c r="X349" s="765"/>
      <c r="Y349" s="902" t="s">
        <v>1519</v>
      </c>
    </row>
    <row r="350" spans="2:25" ht="76.5" x14ac:dyDescent="0.25">
      <c r="B350" s="1769"/>
      <c r="C350" s="771"/>
      <c r="D350" s="771"/>
      <c r="E350" s="771"/>
      <c r="F350" s="903"/>
      <c r="G350" s="760" t="s">
        <v>2227</v>
      </c>
      <c r="H350" s="905" t="s">
        <v>2228</v>
      </c>
      <c r="I350" s="906" t="s">
        <v>97</v>
      </c>
      <c r="J350" s="763"/>
      <c r="K350" s="763">
        <v>6</v>
      </c>
      <c r="L350" s="764">
        <v>192755</v>
      </c>
      <c r="M350" s="763">
        <v>15</v>
      </c>
      <c r="N350" s="764">
        <v>300000</v>
      </c>
      <c r="O350" s="763">
        <v>15</v>
      </c>
      <c r="P350" s="764">
        <v>330000</v>
      </c>
      <c r="Q350" s="763">
        <v>15</v>
      </c>
      <c r="R350" s="764">
        <v>365000</v>
      </c>
      <c r="S350" s="763">
        <v>15</v>
      </c>
      <c r="T350" s="764">
        <v>400000</v>
      </c>
      <c r="U350" s="763">
        <v>15</v>
      </c>
      <c r="V350" s="764">
        <v>440000</v>
      </c>
      <c r="W350" s="904"/>
      <c r="X350" s="765"/>
      <c r="Y350" s="902" t="s">
        <v>1519</v>
      </c>
    </row>
    <row r="351" spans="2:25" ht="51" x14ac:dyDescent="0.25">
      <c r="B351" s="959"/>
      <c r="C351" s="771"/>
      <c r="D351" s="771"/>
      <c r="E351" s="771"/>
      <c r="F351" s="903"/>
      <c r="G351" s="760" t="s">
        <v>2229</v>
      </c>
      <c r="H351" s="761" t="s">
        <v>2230</v>
      </c>
      <c r="I351" s="762" t="s">
        <v>1063</v>
      </c>
      <c r="J351" s="763"/>
      <c r="K351" s="763">
        <v>0</v>
      </c>
      <c r="L351" s="764">
        <v>0</v>
      </c>
      <c r="M351" s="763">
        <v>20</v>
      </c>
      <c r="N351" s="764">
        <v>150000</v>
      </c>
      <c r="O351" s="763">
        <v>20</v>
      </c>
      <c r="P351" s="764">
        <v>155000</v>
      </c>
      <c r="Q351" s="763">
        <v>20</v>
      </c>
      <c r="R351" s="764">
        <v>160000</v>
      </c>
      <c r="S351" s="763">
        <v>20</v>
      </c>
      <c r="T351" s="764">
        <v>170000</v>
      </c>
      <c r="U351" s="763">
        <v>20</v>
      </c>
      <c r="V351" s="764">
        <v>175000</v>
      </c>
      <c r="W351" s="904"/>
      <c r="X351" s="765"/>
      <c r="Y351" s="902" t="s">
        <v>1519</v>
      </c>
    </row>
    <row r="352" spans="2:25" ht="76.5" x14ac:dyDescent="0.25">
      <c r="B352" s="959"/>
      <c r="C352" s="771"/>
      <c r="D352" s="771"/>
      <c r="E352" s="771"/>
      <c r="F352" s="903"/>
      <c r="G352" s="760" t="s">
        <v>2231</v>
      </c>
      <c r="H352" s="761" t="s">
        <v>2232</v>
      </c>
      <c r="I352" s="762" t="s">
        <v>100</v>
      </c>
      <c r="J352" s="763"/>
      <c r="K352" s="763">
        <v>0</v>
      </c>
      <c r="L352" s="764">
        <v>0</v>
      </c>
      <c r="M352" s="763">
        <v>100</v>
      </c>
      <c r="N352" s="764">
        <v>75000</v>
      </c>
      <c r="O352" s="763">
        <v>100</v>
      </c>
      <c r="P352" s="764">
        <v>80000</v>
      </c>
      <c r="Q352" s="763">
        <v>100</v>
      </c>
      <c r="R352" s="764">
        <v>85000</v>
      </c>
      <c r="S352" s="763">
        <v>100</v>
      </c>
      <c r="T352" s="764">
        <v>90000</v>
      </c>
      <c r="U352" s="763">
        <v>100</v>
      </c>
      <c r="V352" s="764">
        <v>95000</v>
      </c>
      <c r="W352" s="904"/>
      <c r="X352" s="765"/>
      <c r="Y352" s="902" t="s">
        <v>1519</v>
      </c>
    </row>
    <row r="353" spans="2:25" ht="102" x14ac:dyDescent="0.25">
      <c r="B353" s="959"/>
      <c r="C353" s="771"/>
      <c r="D353" s="771"/>
      <c r="E353" s="771"/>
      <c r="F353" s="903"/>
      <c r="G353" s="760" t="s">
        <v>2233</v>
      </c>
      <c r="H353" s="761" t="s">
        <v>2234</v>
      </c>
      <c r="I353" s="762" t="s">
        <v>2235</v>
      </c>
      <c r="J353" s="763"/>
      <c r="K353" s="763"/>
      <c r="L353" s="764"/>
      <c r="M353" s="766">
        <v>2</v>
      </c>
      <c r="N353" s="764">
        <v>80000</v>
      </c>
      <c r="O353" s="766">
        <v>2</v>
      </c>
      <c r="P353" s="767">
        <v>85000</v>
      </c>
      <c r="Q353" s="766">
        <v>2</v>
      </c>
      <c r="R353" s="767">
        <v>90000</v>
      </c>
      <c r="S353" s="766">
        <v>2</v>
      </c>
      <c r="T353" s="767">
        <v>95000</v>
      </c>
      <c r="U353" s="766">
        <v>2</v>
      </c>
      <c r="V353" s="767">
        <v>100000</v>
      </c>
      <c r="W353" s="904"/>
      <c r="X353" s="765"/>
      <c r="Y353" s="902" t="s">
        <v>1519</v>
      </c>
    </row>
    <row r="354" spans="2:25" ht="51" x14ac:dyDescent="0.25">
      <c r="B354" s="959"/>
      <c r="C354" s="771"/>
      <c r="D354" s="771"/>
      <c r="E354" s="771"/>
      <c r="F354" s="903"/>
      <c r="G354" s="760" t="s">
        <v>2236</v>
      </c>
      <c r="H354" s="761" t="s">
        <v>2237</v>
      </c>
      <c r="I354" s="762" t="s">
        <v>79</v>
      </c>
      <c r="J354" s="763">
        <v>0</v>
      </c>
      <c r="K354" s="763">
        <v>0</v>
      </c>
      <c r="L354" s="764">
        <v>0</v>
      </c>
      <c r="M354" s="766">
        <v>1</v>
      </c>
      <c r="N354" s="764">
        <v>50000</v>
      </c>
      <c r="O354" s="763"/>
      <c r="P354" s="764"/>
      <c r="Q354" s="763"/>
      <c r="R354" s="764"/>
      <c r="S354" s="763"/>
      <c r="T354" s="764"/>
      <c r="U354" s="766">
        <v>1</v>
      </c>
      <c r="V354" s="764">
        <v>60000</v>
      </c>
      <c r="W354" s="904"/>
      <c r="X354" s="765"/>
      <c r="Y354" s="902" t="s">
        <v>1519</v>
      </c>
    </row>
    <row r="355" spans="2:25" ht="63.75" x14ac:dyDescent="0.25">
      <c r="B355" s="959"/>
      <c r="C355" s="771"/>
      <c r="D355" s="771"/>
      <c r="E355" s="771"/>
      <c r="F355" s="903"/>
      <c r="G355" s="768" t="s">
        <v>2238</v>
      </c>
      <c r="H355" s="761" t="s">
        <v>2239</v>
      </c>
      <c r="I355" s="762" t="s">
        <v>79</v>
      </c>
      <c r="J355" s="763"/>
      <c r="K355" s="763">
        <v>0</v>
      </c>
      <c r="L355" s="764">
        <v>0</v>
      </c>
      <c r="M355" s="763">
        <v>1</v>
      </c>
      <c r="N355" s="764">
        <v>50000</v>
      </c>
      <c r="O355" s="763">
        <v>1</v>
      </c>
      <c r="P355" s="764">
        <v>50000</v>
      </c>
      <c r="Q355" s="763">
        <v>1</v>
      </c>
      <c r="R355" s="764">
        <v>60000</v>
      </c>
      <c r="S355" s="763">
        <v>0</v>
      </c>
      <c r="T355" s="764">
        <v>0</v>
      </c>
      <c r="U355" s="763">
        <v>1</v>
      </c>
      <c r="V355" s="764">
        <v>70000</v>
      </c>
      <c r="W355" s="904"/>
      <c r="X355" s="765"/>
      <c r="Y355" s="902" t="s">
        <v>1519</v>
      </c>
    </row>
    <row r="356" spans="2:25" ht="63.75" x14ac:dyDescent="0.25">
      <c r="B356" s="959"/>
      <c r="C356" s="771"/>
      <c r="D356" s="771"/>
      <c r="E356" s="771"/>
      <c r="F356" s="903"/>
      <c r="G356" s="768" t="s">
        <v>2240</v>
      </c>
      <c r="H356" s="761" t="s">
        <v>2241</v>
      </c>
      <c r="I356" s="762" t="s">
        <v>103</v>
      </c>
      <c r="J356" s="763"/>
      <c r="K356" s="763"/>
      <c r="L356" s="764"/>
      <c r="M356" s="763">
        <v>3</v>
      </c>
      <c r="N356" s="764">
        <v>20000</v>
      </c>
      <c r="O356" s="763">
        <v>3</v>
      </c>
      <c r="P356" s="764">
        <v>20000</v>
      </c>
      <c r="Q356" s="763">
        <v>3</v>
      </c>
      <c r="R356" s="764">
        <v>25000</v>
      </c>
      <c r="S356" s="763">
        <v>3</v>
      </c>
      <c r="T356" s="764">
        <v>25000</v>
      </c>
      <c r="U356" s="763">
        <v>3</v>
      </c>
      <c r="V356" s="764">
        <v>25000</v>
      </c>
      <c r="W356" s="904"/>
      <c r="X356" s="765"/>
      <c r="Y356" s="902" t="s">
        <v>1519</v>
      </c>
    </row>
    <row r="357" spans="2:25" ht="63.75" x14ac:dyDescent="0.25">
      <c r="B357" s="959"/>
      <c r="C357" s="771"/>
      <c r="D357" s="771"/>
      <c r="E357" s="960"/>
      <c r="F357" s="909"/>
      <c r="G357" s="768" t="s">
        <v>2242</v>
      </c>
      <c r="H357" s="761" t="s">
        <v>2243</v>
      </c>
      <c r="I357" s="762" t="s">
        <v>103</v>
      </c>
      <c r="J357" s="763"/>
      <c r="K357" s="763"/>
      <c r="L357" s="764"/>
      <c r="M357" s="763">
        <v>2</v>
      </c>
      <c r="N357" s="764">
        <v>85000</v>
      </c>
      <c r="O357" s="763">
        <v>2</v>
      </c>
      <c r="P357" s="764">
        <v>90000</v>
      </c>
      <c r="Q357" s="763">
        <v>2</v>
      </c>
      <c r="R357" s="764">
        <v>95000</v>
      </c>
      <c r="S357" s="763">
        <v>2</v>
      </c>
      <c r="T357" s="764">
        <v>100000</v>
      </c>
      <c r="U357" s="763">
        <v>2</v>
      </c>
      <c r="V357" s="764">
        <v>100000</v>
      </c>
      <c r="W357" s="904"/>
      <c r="X357" s="765"/>
      <c r="Y357" s="902" t="s">
        <v>1519</v>
      </c>
    </row>
    <row r="358" spans="2:25" x14ac:dyDescent="0.25">
      <c r="B358" s="959"/>
      <c r="C358" s="771"/>
      <c r="D358" s="771"/>
      <c r="E358" s="771"/>
      <c r="F358" s="909"/>
      <c r="G358" s="166"/>
      <c r="H358" s="983"/>
      <c r="I358" s="762"/>
      <c r="J358" s="763"/>
      <c r="K358" s="763"/>
      <c r="L358" s="764"/>
      <c r="M358" s="763"/>
      <c r="N358" s="764"/>
      <c r="O358" s="763"/>
      <c r="P358" s="764"/>
      <c r="Q358" s="763"/>
      <c r="R358" s="764"/>
      <c r="S358" s="763"/>
      <c r="T358" s="764"/>
      <c r="U358" s="763"/>
      <c r="V358" s="764"/>
      <c r="W358" s="904"/>
      <c r="X358" s="765"/>
      <c r="Y358" s="902" t="s">
        <v>1519</v>
      </c>
    </row>
    <row r="359" spans="2:25" s="219" customFormat="1" ht="108" x14ac:dyDescent="0.2">
      <c r="B359" s="959"/>
      <c r="C359" s="771"/>
      <c r="D359" s="771"/>
      <c r="E359" s="1954" t="s">
        <v>3200</v>
      </c>
      <c r="F359" s="685" t="s">
        <v>3201</v>
      </c>
      <c r="G359" s="685" t="s">
        <v>3202</v>
      </c>
      <c r="H359" s="172" t="s">
        <v>3201</v>
      </c>
      <c r="I359" s="220" t="s">
        <v>19</v>
      </c>
      <c r="J359" s="964">
        <v>100</v>
      </c>
      <c r="K359" s="221">
        <v>100</v>
      </c>
      <c r="L359" s="861"/>
      <c r="M359" s="221">
        <v>100</v>
      </c>
      <c r="N359" s="861"/>
      <c r="O359" s="221">
        <v>100</v>
      </c>
      <c r="P359" s="861"/>
      <c r="Q359" s="221">
        <v>100</v>
      </c>
      <c r="R359" s="861"/>
      <c r="S359" s="221">
        <v>100</v>
      </c>
      <c r="T359" s="861"/>
      <c r="U359" s="221">
        <v>100</v>
      </c>
      <c r="V359" s="861"/>
      <c r="W359" s="861">
        <f>W360+W362+W364+W366+W369+W372</f>
        <v>666</v>
      </c>
      <c r="X359" s="218"/>
      <c r="Y359" s="902" t="s">
        <v>1519</v>
      </c>
    </row>
    <row r="360" spans="2:25" ht="60" customHeight="1" x14ac:dyDescent="0.25">
      <c r="B360" s="959"/>
      <c r="C360" s="771"/>
      <c r="D360" s="771"/>
      <c r="E360" s="1955"/>
      <c r="F360" s="674"/>
      <c r="G360" s="962" t="s">
        <v>1522</v>
      </c>
      <c r="H360" s="770" t="s">
        <v>1521</v>
      </c>
      <c r="I360" s="911" t="s">
        <v>1523</v>
      </c>
      <c r="J360" s="898"/>
      <c r="K360" s="898">
        <v>7</v>
      </c>
      <c r="L360" s="899">
        <f>SUM(L361)</f>
        <v>10582036</v>
      </c>
      <c r="M360" s="898">
        <v>5</v>
      </c>
      <c r="N360" s="899">
        <f>SUM(N361)</f>
        <v>1000000</v>
      </c>
      <c r="O360" s="898">
        <v>8</v>
      </c>
      <c r="P360" s="899">
        <f>SUM(P361)</f>
        <v>1500000</v>
      </c>
      <c r="Q360" s="898">
        <v>8</v>
      </c>
      <c r="R360" s="899">
        <f>SUM(R361)</f>
        <v>2000000</v>
      </c>
      <c r="S360" s="898">
        <v>10</v>
      </c>
      <c r="T360" s="899">
        <f>SUM(T361)</f>
        <v>2500000</v>
      </c>
      <c r="U360" s="898">
        <v>10</v>
      </c>
      <c r="V360" s="899">
        <f>SUM(V361)</f>
        <v>3000000</v>
      </c>
      <c r="W360" s="912">
        <v>48</v>
      </c>
      <c r="X360" s="901"/>
      <c r="Y360" s="902" t="s">
        <v>1519</v>
      </c>
    </row>
    <row r="361" spans="2:25" ht="63.75" x14ac:dyDescent="0.25">
      <c r="B361" s="959"/>
      <c r="C361" s="771"/>
      <c r="D361" s="771"/>
      <c r="E361" s="1955"/>
      <c r="F361" s="772"/>
      <c r="G361" s="760" t="s">
        <v>2244</v>
      </c>
      <c r="H361" s="761" t="s">
        <v>2245</v>
      </c>
      <c r="I361" s="762" t="s">
        <v>1523</v>
      </c>
      <c r="J361" s="763"/>
      <c r="K361" s="766">
        <v>7</v>
      </c>
      <c r="L361" s="913">
        <v>10582036</v>
      </c>
      <c r="M361" s="763">
        <v>5</v>
      </c>
      <c r="N361" s="913">
        <v>1000000</v>
      </c>
      <c r="O361" s="763">
        <v>8</v>
      </c>
      <c r="P361" s="913">
        <v>1500000</v>
      </c>
      <c r="Q361" s="763">
        <v>8</v>
      </c>
      <c r="R361" s="913">
        <v>2000000</v>
      </c>
      <c r="S361" s="763">
        <v>10</v>
      </c>
      <c r="T361" s="913">
        <v>2500000</v>
      </c>
      <c r="U361" s="763">
        <v>10</v>
      </c>
      <c r="V361" s="913">
        <v>3000000</v>
      </c>
      <c r="W361" s="904"/>
      <c r="X361" s="765"/>
      <c r="Y361" s="902" t="s">
        <v>1519</v>
      </c>
    </row>
    <row r="362" spans="2:25" ht="72" x14ac:dyDescent="0.25">
      <c r="B362" s="959"/>
      <c r="C362" s="771"/>
      <c r="D362" s="771"/>
      <c r="E362" s="1955"/>
      <c r="F362" s="963"/>
      <c r="G362" s="769" t="s">
        <v>1525</v>
      </c>
      <c r="H362" s="759" t="s">
        <v>1524</v>
      </c>
      <c r="I362" s="897" t="s">
        <v>1523</v>
      </c>
      <c r="J362" s="898"/>
      <c r="K362" s="898">
        <v>7</v>
      </c>
      <c r="L362" s="899">
        <f>SUM(L363)</f>
        <v>3812135</v>
      </c>
      <c r="M362" s="898">
        <v>5</v>
      </c>
      <c r="N362" s="899">
        <f>SUM(N363)</f>
        <v>1000000</v>
      </c>
      <c r="O362" s="898">
        <v>8</v>
      </c>
      <c r="P362" s="899">
        <f>SUM(P363)</f>
        <v>1500000</v>
      </c>
      <c r="Q362" s="898">
        <v>8</v>
      </c>
      <c r="R362" s="899">
        <f>SUM(R363)</f>
        <v>2000000</v>
      </c>
      <c r="S362" s="898">
        <v>10</v>
      </c>
      <c r="T362" s="899">
        <f>SUM(T363)</f>
        <v>2500000</v>
      </c>
      <c r="U362" s="898">
        <v>10</v>
      </c>
      <c r="V362" s="899">
        <f>SUM(V363)</f>
        <v>3000000</v>
      </c>
      <c r="W362" s="900">
        <v>38</v>
      </c>
      <c r="X362" s="901"/>
      <c r="Y362" s="902" t="s">
        <v>1519</v>
      </c>
    </row>
    <row r="363" spans="2:25" ht="63.75" x14ac:dyDescent="0.25">
      <c r="B363" s="959"/>
      <c r="C363" s="771"/>
      <c r="D363" s="771"/>
      <c r="E363" s="1955"/>
      <c r="F363" s="772"/>
      <c r="G363" s="760" t="s">
        <v>2246</v>
      </c>
      <c r="H363" s="761" t="s">
        <v>2247</v>
      </c>
      <c r="I363" s="762" t="s">
        <v>1523</v>
      </c>
      <c r="J363" s="763"/>
      <c r="K363" s="766">
        <v>7</v>
      </c>
      <c r="L363" s="764">
        <v>3812135</v>
      </c>
      <c r="M363" s="763">
        <v>5</v>
      </c>
      <c r="N363" s="764">
        <v>1000000</v>
      </c>
      <c r="O363" s="763">
        <v>8</v>
      </c>
      <c r="P363" s="764">
        <v>1500000</v>
      </c>
      <c r="Q363" s="763">
        <v>8</v>
      </c>
      <c r="R363" s="764">
        <v>2000000</v>
      </c>
      <c r="S363" s="763">
        <v>10</v>
      </c>
      <c r="T363" s="764">
        <v>2500000</v>
      </c>
      <c r="U363" s="763">
        <v>10</v>
      </c>
      <c r="V363" s="764">
        <v>3000000</v>
      </c>
      <c r="W363" s="904"/>
      <c r="X363" s="765"/>
      <c r="Y363" s="902" t="s">
        <v>1519</v>
      </c>
    </row>
    <row r="364" spans="2:25" ht="72" customHeight="1" x14ac:dyDescent="0.25">
      <c r="B364" s="959"/>
      <c r="C364" s="771"/>
      <c r="D364" s="771"/>
      <c r="E364" s="1955"/>
      <c r="F364" s="963"/>
      <c r="G364" s="770" t="s">
        <v>1527</v>
      </c>
      <c r="H364" s="759" t="s">
        <v>1526</v>
      </c>
      <c r="I364" s="897" t="s">
        <v>1528</v>
      </c>
      <c r="J364" s="898"/>
      <c r="K364" s="898">
        <v>100</v>
      </c>
      <c r="L364" s="899">
        <f>SUM(L365)</f>
        <v>200000</v>
      </c>
      <c r="M364" s="898">
        <v>100</v>
      </c>
      <c r="N364" s="899">
        <f>SUM(N365)</f>
        <v>220000</v>
      </c>
      <c r="O364" s="898">
        <v>100</v>
      </c>
      <c r="P364" s="899">
        <f>SUM(P365)</f>
        <v>242000</v>
      </c>
      <c r="Q364" s="898">
        <v>100</v>
      </c>
      <c r="R364" s="899">
        <f>SUM(R365)</f>
        <v>266200</v>
      </c>
      <c r="S364" s="898">
        <v>100</v>
      </c>
      <c r="T364" s="899">
        <f>SUM(T365)</f>
        <v>292820</v>
      </c>
      <c r="U364" s="898">
        <v>100</v>
      </c>
      <c r="V364" s="899">
        <f>SUM(V365)</f>
        <v>322102</v>
      </c>
      <c r="W364" s="900">
        <v>500</v>
      </c>
      <c r="X364" s="901"/>
      <c r="Y364" s="902" t="s">
        <v>1519</v>
      </c>
    </row>
    <row r="365" spans="2:25" ht="89.25" x14ac:dyDescent="0.25">
      <c r="B365" s="959"/>
      <c r="C365" s="771"/>
      <c r="D365" s="771"/>
      <c r="E365" s="1955"/>
      <c r="F365" s="772"/>
      <c r="G365" s="761" t="s">
        <v>2248</v>
      </c>
      <c r="H365" s="905" t="s">
        <v>2249</v>
      </c>
      <c r="I365" s="906" t="s">
        <v>1528</v>
      </c>
      <c r="J365" s="898"/>
      <c r="K365" s="914">
        <v>100</v>
      </c>
      <c r="L365" s="764">
        <v>200000</v>
      </c>
      <c r="M365" s="915">
        <v>100</v>
      </c>
      <c r="N365" s="764">
        <v>220000</v>
      </c>
      <c r="O365" s="915">
        <v>100</v>
      </c>
      <c r="P365" s="764">
        <v>242000</v>
      </c>
      <c r="Q365" s="915">
        <v>100</v>
      </c>
      <c r="R365" s="764">
        <v>266200</v>
      </c>
      <c r="S365" s="915">
        <v>100</v>
      </c>
      <c r="T365" s="764">
        <v>292820</v>
      </c>
      <c r="U365" s="915">
        <v>100</v>
      </c>
      <c r="V365" s="764">
        <v>322102</v>
      </c>
      <c r="W365" s="904"/>
      <c r="X365" s="765"/>
      <c r="Y365" s="902" t="s">
        <v>1519</v>
      </c>
    </row>
    <row r="366" spans="2:25" ht="120" x14ac:dyDescent="0.25">
      <c r="B366" s="959"/>
      <c r="C366" s="771"/>
      <c r="D366" s="771"/>
      <c r="E366" s="1955"/>
      <c r="F366" s="963"/>
      <c r="G366" s="759" t="s">
        <v>1529</v>
      </c>
      <c r="H366" s="759" t="s">
        <v>1530</v>
      </c>
      <c r="I366" s="897" t="s">
        <v>40</v>
      </c>
      <c r="J366" s="898"/>
      <c r="K366" s="898">
        <v>12</v>
      </c>
      <c r="L366" s="899">
        <f>SUM(L367:L368)</f>
        <v>2000000</v>
      </c>
      <c r="M366" s="898">
        <v>12</v>
      </c>
      <c r="N366" s="899">
        <f>SUM(N367:N368)</f>
        <v>2500000</v>
      </c>
      <c r="O366" s="898">
        <v>12</v>
      </c>
      <c r="P366" s="899">
        <f>SUM(P367:P368)</f>
        <v>2550000</v>
      </c>
      <c r="Q366" s="898">
        <v>12</v>
      </c>
      <c r="R366" s="899">
        <f>SUM(R367:R368)</f>
        <v>2600000</v>
      </c>
      <c r="S366" s="898">
        <v>12</v>
      </c>
      <c r="T366" s="899">
        <f>SUM(T367:T368)</f>
        <v>2650000</v>
      </c>
      <c r="U366" s="898">
        <v>12</v>
      </c>
      <c r="V366" s="899">
        <f>SUM(V367:V368)</f>
        <v>2700000</v>
      </c>
      <c r="W366" s="900">
        <v>60</v>
      </c>
      <c r="X366" s="901"/>
      <c r="Y366" s="902" t="s">
        <v>1519</v>
      </c>
    </row>
    <row r="367" spans="2:25" ht="89.25" x14ac:dyDescent="0.25">
      <c r="B367" s="959"/>
      <c r="C367" s="771"/>
      <c r="D367" s="771"/>
      <c r="E367" s="1955"/>
      <c r="F367" s="772"/>
      <c r="G367" s="761" t="s">
        <v>2250</v>
      </c>
      <c r="H367" s="768" t="s">
        <v>2251</v>
      </c>
      <c r="I367" s="906" t="s">
        <v>40</v>
      </c>
      <c r="J367" s="763"/>
      <c r="K367" s="763">
        <v>12</v>
      </c>
      <c r="L367" s="764">
        <v>2000000</v>
      </c>
      <c r="M367" s="763">
        <v>12</v>
      </c>
      <c r="N367" s="764">
        <v>2000000</v>
      </c>
      <c r="O367" s="763">
        <v>12</v>
      </c>
      <c r="P367" s="764">
        <v>2000000</v>
      </c>
      <c r="Q367" s="763">
        <v>12</v>
      </c>
      <c r="R367" s="764">
        <v>2000000</v>
      </c>
      <c r="S367" s="763">
        <v>12</v>
      </c>
      <c r="T367" s="764">
        <v>2000000</v>
      </c>
      <c r="U367" s="763">
        <v>12</v>
      </c>
      <c r="V367" s="764">
        <v>2000000</v>
      </c>
      <c r="W367" s="904"/>
      <c r="X367" s="765"/>
      <c r="Y367" s="902" t="s">
        <v>1519</v>
      </c>
    </row>
    <row r="368" spans="2:25" ht="127.5" x14ac:dyDescent="0.25">
      <c r="B368" s="959"/>
      <c r="C368" s="771"/>
      <c r="D368" s="771"/>
      <c r="E368" s="1955"/>
      <c r="F368" s="772"/>
      <c r="G368" s="761" t="s">
        <v>2252</v>
      </c>
      <c r="H368" s="761" t="s">
        <v>2253</v>
      </c>
      <c r="I368" s="762"/>
      <c r="J368" s="763"/>
      <c r="K368" s="763">
        <v>0</v>
      </c>
      <c r="L368" s="764"/>
      <c r="M368" s="763">
        <v>12</v>
      </c>
      <c r="N368" s="764">
        <v>500000</v>
      </c>
      <c r="O368" s="763">
        <v>12</v>
      </c>
      <c r="P368" s="764">
        <v>550000</v>
      </c>
      <c r="Q368" s="763">
        <v>12</v>
      </c>
      <c r="R368" s="764">
        <v>600000</v>
      </c>
      <c r="S368" s="763">
        <v>12</v>
      </c>
      <c r="T368" s="764">
        <v>650000</v>
      </c>
      <c r="U368" s="763">
        <v>12</v>
      </c>
      <c r="V368" s="764">
        <v>700000</v>
      </c>
      <c r="W368" s="904"/>
      <c r="X368" s="765"/>
      <c r="Y368" s="902" t="s">
        <v>1519</v>
      </c>
    </row>
    <row r="369" spans="2:25" ht="60" customHeight="1" x14ac:dyDescent="0.25">
      <c r="B369" s="959"/>
      <c r="C369" s="771"/>
      <c r="D369" s="771"/>
      <c r="E369" s="1955"/>
      <c r="F369" s="963"/>
      <c r="G369" s="759" t="s">
        <v>1532</v>
      </c>
      <c r="H369" s="759" t="s">
        <v>1531</v>
      </c>
      <c r="I369" s="897" t="s">
        <v>72</v>
      </c>
      <c r="J369" s="898"/>
      <c r="K369" s="898">
        <v>4</v>
      </c>
      <c r="L369" s="899">
        <f>SUM(L370:L371)</f>
        <v>937200</v>
      </c>
      <c r="M369" s="898">
        <v>4</v>
      </c>
      <c r="N369" s="899">
        <f>SUM(N370:N371)</f>
        <v>1037200</v>
      </c>
      <c r="O369" s="898">
        <v>4</v>
      </c>
      <c r="P369" s="899">
        <f>SUM(P370:P371)</f>
        <v>1037200</v>
      </c>
      <c r="Q369" s="898">
        <v>4</v>
      </c>
      <c r="R369" s="899">
        <f>SUM(R370:R371)</f>
        <v>1037200</v>
      </c>
      <c r="S369" s="898">
        <v>4</v>
      </c>
      <c r="T369" s="899">
        <f>SUM(T370:T371)</f>
        <v>1037200</v>
      </c>
      <c r="U369" s="898">
        <v>4</v>
      </c>
      <c r="V369" s="899">
        <f>SUM(V370:V371)</f>
        <v>1037200</v>
      </c>
      <c r="W369" s="900">
        <v>4</v>
      </c>
      <c r="X369" s="901"/>
      <c r="Y369" s="902" t="s">
        <v>1519</v>
      </c>
    </row>
    <row r="370" spans="2:25" ht="89.25" x14ac:dyDescent="0.25">
      <c r="B370" s="959"/>
      <c r="C370" s="771"/>
      <c r="D370" s="771"/>
      <c r="E370" s="1955"/>
      <c r="F370" s="916"/>
      <c r="G370" s="760" t="s">
        <v>2254</v>
      </c>
      <c r="H370" s="761" t="s">
        <v>2255</v>
      </c>
      <c r="I370" s="762" t="s">
        <v>72</v>
      </c>
      <c r="J370" s="763"/>
      <c r="K370" s="917">
        <v>4</v>
      </c>
      <c r="L370" s="764">
        <v>937200</v>
      </c>
      <c r="M370" s="917">
        <v>4</v>
      </c>
      <c r="N370" s="764">
        <v>937200</v>
      </c>
      <c r="O370" s="917">
        <v>4</v>
      </c>
      <c r="P370" s="764">
        <v>937200</v>
      </c>
      <c r="Q370" s="917">
        <v>4</v>
      </c>
      <c r="R370" s="764">
        <v>937200</v>
      </c>
      <c r="S370" s="917">
        <v>4</v>
      </c>
      <c r="T370" s="764">
        <v>937200</v>
      </c>
      <c r="U370" s="917">
        <v>4</v>
      </c>
      <c r="V370" s="764">
        <v>937200</v>
      </c>
      <c r="W370" s="904"/>
      <c r="X370" s="765"/>
      <c r="Y370" s="902" t="s">
        <v>1519</v>
      </c>
    </row>
    <row r="371" spans="2:25" ht="51" x14ac:dyDescent="0.25">
      <c r="B371" s="959"/>
      <c r="C371" s="771"/>
      <c r="D371" s="771"/>
      <c r="E371" s="1955"/>
      <c r="F371" s="916"/>
      <c r="G371" s="760" t="s">
        <v>3183</v>
      </c>
      <c r="H371" s="761" t="s">
        <v>2256</v>
      </c>
      <c r="I371" s="762" t="s">
        <v>100</v>
      </c>
      <c r="J371" s="763"/>
      <c r="K371" s="907">
        <v>0</v>
      </c>
      <c r="L371" s="908">
        <v>0</v>
      </c>
      <c r="M371" s="907">
        <v>80</v>
      </c>
      <c r="N371" s="764">
        <v>100000</v>
      </c>
      <c r="O371" s="907">
        <v>80</v>
      </c>
      <c r="P371" s="764">
        <v>100000</v>
      </c>
      <c r="Q371" s="907">
        <v>80</v>
      </c>
      <c r="R371" s="764">
        <v>100000</v>
      </c>
      <c r="S371" s="907">
        <v>80</v>
      </c>
      <c r="T371" s="764">
        <v>100000</v>
      </c>
      <c r="U371" s="907">
        <v>80</v>
      </c>
      <c r="V371" s="764">
        <v>100000</v>
      </c>
      <c r="W371" s="904"/>
      <c r="X371" s="765"/>
      <c r="Y371" s="902" t="s">
        <v>1519</v>
      </c>
    </row>
    <row r="372" spans="2:25" ht="108" x14ac:dyDescent="0.25">
      <c r="B372" s="959"/>
      <c r="C372" s="771"/>
      <c r="D372" s="771"/>
      <c r="E372" s="1955"/>
      <c r="F372" s="963"/>
      <c r="G372" s="759" t="s">
        <v>1534</v>
      </c>
      <c r="H372" s="759" t="s">
        <v>1533</v>
      </c>
      <c r="I372" s="897" t="s">
        <v>19</v>
      </c>
      <c r="J372" s="898"/>
      <c r="K372" s="898">
        <v>0</v>
      </c>
      <c r="L372" s="899">
        <f>SUM(L373:L376)</f>
        <v>100000</v>
      </c>
      <c r="M372" s="898">
        <v>4</v>
      </c>
      <c r="N372" s="899">
        <f>SUM(N373:N376)</f>
        <v>510000</v>
      </c>
      <c r="O372" s="898">
        <v>4</v>
      </c>
      <c r="P372" s="899">
        <f>SUM(P373:P376)</f>
        <v>231000</v>
      </c>
      <c r="Q372" s="898">
        <v>4</v>
      </c>
      <c r="R372" s="899">
        <f>SUM(R373:R376)</f>
        <v>253800</v>
      </c>
      <c r="S372" s="898">
        <v>4</v>
      </c>
      <c r="T372" s="899">
        <f>SUM(T373:T376)</f>
        <v>278480</v>
      </c>
      <c r="U372" s="898">
        <v>4</v>
      </c>
      <c r="V372" s="899">
        <f>SUM(V373:V376)</f>
        <v>605128</v>
      </c>
      <c r="W372" s="900">
        <v>16</v>
      </c>
      <c r="X372" s="901"/>
      <c r="Y372" s="902" t="s">
        <v>1519</v>
      </c>
    </row>
    <row r="373" spans="2:25" ht="63.75" x14ac:dyDescent="0.25">
      <c r="B373" s="959"/>
      <c r="C373" s="771"/>
      <c r="D373" s="771"/>
      <c r="E373" s="1955"/>
      <c r="F373" s="916"/>
      <c r="G373" s="761" t="s">
        <v>2257</v>
      </c>
      <c r="H373" s="761" t="s">
        <v>2258</v>
      </c>
      <c r="I373" s="762" t="s">
        <v>1413</v>
      </c>
      <c r="J373" s="763">
        <v>0</v>
      </c>
      <c r="K373" s="763">
        <v>0</v>
      </c>
      <c r="L373" s="764">
        <v>0</v>
      </c>
      <c r="M373" s="763">
        <v>4</v>
      </c>
      <c r="N373" s="764">
        <v>20000</v>
      </c>
      <c r="O373" s="763">
        <v>4</v>
      </c>
      <c r="P373" s="764">
        <v>22000</v>
      </c>
      <c r="Q373" s="763">
        <v>4</v>
      </c>
      <c r="R373" s="764">
        <v>24000</v>
      </c>
      <c r="S373" s="763">
        <v>4</v>
      </c>
      <c r="T373" s="764">
        <v>26000</v>
      </c>
      <c r="U373" s="763">
        <v>4</v>
      </c>
      <c r="V373" s="764">
        <v>28000</v>
      </c>
      <c r="W373" s="904"/>
      <c r="X373" s="765"/>
      <c r="Y373" s="902" t="s">
        <v>1519</v>
      </c>
    </row>
    <row r="374" spans="2:25" ht="127.5" x14ac:dyDescent="0.25">
      <c r="B374" s="959"/>
      <c r="C374" s="771"/>
      <c r="D374" s="771"/>
      <c r="E374" s="1955"/>
      <c r="F374" s="916"/>
      <c r="G374" s="768" t="s">
        <v>2259</v>
      </c>
      <c r="H374" s="768" t="s">
        <v>2260</v>
      </c>
      <c r="I374" s="762" t="s">
        <v>1413</v>
      </c>
      <c r="J374" s="763"/>
      <c r="K374" s="763">
        <v>0</v>
      </c>
      <c r="L374" s="764">
        <v>0</v>
      </c>
      <c r="M374" s="763">
        <v>4</v>
      </c>
      <c r="N374" s="764">
        <v>80000</v>
      </c>
      <c r="O374" s="763">
        <v>4</v>
      </c>
      <c r="P374" s="764">
        <v>88000</v>
      </c>
      <c r="Q374" s="763">
        <v>4</v>
      </c>
      <c r="R374" s="764">
        <v>96800</v>
      </c>
      <c r="S374" s="763">
        <v>4</v>
      </c>
      <c r="T374" s="764">
        <v>106480</v>
      </c>
      <c r="U374" s="763">
        <v>4</v>
      </c>
      <c r="V374" s="764">
        <v>117128</v>
      </c>
      <c r="W374" s="904"/>
      <c r="X374" s="765"/>
      <c r="Y374" s="902" t="s">
        <v>1519</v>
      </c>
    </row>
    <row r="375" spans="2:25" ht="76.5" x14ac:dyDescent="0.25">
      <c r="B375" s="959"/>
      <c r="C375" s="771"/>
      <c r="D375" s="771"/>
      <c r="E375" s="1955"/>
      <c r="F375" s="916"/>
      <c r="G375" s="761" t="s">
        <v>2261</v>
      </c>
      <c r="H375" s="761" t="s">
        <v>2262</v>
      </c>
      <c r="I375" s="762" t="s">
        <v>75</v>
      </c>
      <c r="J375" s="763"/>
      <c r="K375" s="763">
        <v>2</v>
      </c>
      <c r="L375" s="764">
        <v>100000</v>
      </c>
      <c r="M375" s="763">
        <v>2</v>
      </c>
      <c r="N375" s="764">
        <v>110000</v>
      </c>
      <c r="O375" s="763">
        <v>2</v>
      </c>
      <c r="P375" s="764">
        <v>121000</v>
      </c>
      <c r="Q375" s="763">
        <v>2</v>
      </c>
      <c r="R375" s="764">
        <v>133000</v>
      </c>
      <c r="S375" s="763">
        <v>2</v>
      </c>
      <c r="T375" s="764">
        <v>146000</v>
      </c>
      <c r="U375" s="763">
        <v>2</v>
      </c>
      <c r="V375" s="764">
        <v>160000</v>
      </c>
      <c r="W375" s="904"/>
      <c r="X375" s="765"/>
      <c r="Y375" s="902" t="s">
        <v>1519</v>
      </c>
    </row>
    <row r="376" spans="2:25" ht="51" x14ac:dyDescent="0.25">
      <c r="B376" s="961"/>
      <c r="C376" s="960"/>
      <c r="D376" s="960"/>
      <c r="E376" s="2031"/>
      <c r="F376" s="918"/>
      <c r="G376" s="768" t="s">
        <v>2263</v>
      </c>
      <c r="H376" s="761" t="s">
        <v>2264</v>
      </c>
      <c r="I376" s="762" t="s">
        <v>75</v>
      </c>
      <c r="J376" s="763">
        <v>0</v>
      </c>
      <c r="K376" s="763">
        <v>0</v>
      </c>
      <c r="L376" s="764">
        <v>0</v>
      </c>
      <c r="M376" s="763">
        <v>1</v>
      </c>
      <c r="N376" s="764">
        <v>300000</v>
      </c>
      <c r="O376" s="763">
        <v>0</v>
      </c>
      <c r="P376" s="764">
        <v>0</v>
      </c>
      <c r="Q376" s="763">
        <v>0</v>
      </c>
      <c r="R376" s="764"/>
      <c r="S376" s="763"/>
      <c r="T376" s="764"/>
      <c r="U376" s="763">
        <v>1</v>
      </c>
      <c r="V376" s="764">
        <v>300000</v>
      </c>
      <c r="W376" s="904"/>
      <c r="X376" s="765"/>
      <c r="Y376" s="902" t="s">
        <v>1519</v>
      </c>
    </row>
    <row r="377" spans="2:25" x14ac:dyDescent="0.25">
      <c r="B377" s="961"/>
      <c r="C377" s="771"/>
      <c r="D377" s="771"/>
      <c r="E377" s="1767"/>
      <c r="F377" s="916"/>
      <c r="G377" s="768"/>
      <c r="H377" s="761"/>
      <c r="I377" s="762"/>
      <c r="J377" s="763"/>
      <c r="K377" s="763"/>
      <c r="L377" s="764"/>
      <c r="M377" s="763"/>
      <c r="N377" s="764"/>
      <c r="O377" s="763"/>
      <c r="P377" s="764"/>
      <c r="Q377" s="763"/>
      <c r="R377" s="764"/>
      <c r="S377" s="763"/>
      <c r="T377" s="764"/>
      <c r="U377" s="763"/>
      <c r="V377" s="764"/>
      <c r="W377" s="904"/>
      <c r="X377" s="765"/>
      <c r="Y377" s="902"/>
    </row>
    <row r="378" spans="2:25" ht="60" customHeight="1" x14ac:dyDescent="0.25">
      <c r="B378" s="2030" t="s">
        <v>33</v>
      </c>
      <c r="C378" s="1946" t="s">
        <v>34</v>
      </c>
      <c r="D378" s="1946" t="s">
        <v>3831</v>
      </c>
      <c r="E378" s="1792" t="s">
        <v>3992</v>
      </c>
      <c r="F378" s="1946" t="s">
        <v>3913</v>
      </c>
      <c r="G378" s="38" t="s">
        <v>3133</v>
      </c>
      <c r="H378" s="770" t="s">
        <v>35</v>
      </c>
      <c r="I378" s="919" t="s">
        <v>19</v>
      </c>
      <c r="J378" s="920">
        <v>90</v>
      </c>
      <c r="K378" s="920">
        <v>91</v>
      </c>
      <c r="L378" s="921"/>
      <c r="M378" s="920">
        <v>92</v>
      </c>
      <c r="N378" s="921"/>
      <c r="O378" s="920">
        <v>93</v>
      </c>
      <c r="P378" s="921"/>
      <c r="Q378" s="920">
        <v>94</v>
      </c>
      <c r="R378" s="921"/>
      <c r="S378" s="920">
        <v>95</v>
      </c>
      <c r="T378" s="921"/>
      <c r="U378" s="920">
        <v>96</v>
      </c>
      <c r="V378" s="921"/>
      <c r="W378" s="900">
        <f>S378</f>
        <v>95</v>
      </c>
      <c r="X378" s="901"/>
      <c r="Y378" s="902" t="s">
        <v>1519</v>
      </c>
    </row>
    <row r="379" spans="2:25" ht="72" x14ac:dyDescent="0.25">
      <c r="B379" s="2030"/>
      <c r="C379" s="1947"/>
      <c r="D379" s="1947"/>
      <c r="E379" s="1793"/>
      <c r="F379" s="1947"/>
      <c r="G379" s="759" t="s">
        <v>36</v>
      </c>
      <c r="H379" s="759" t="s">
        <v>1640</v>
      </c>
      <c r="I379" s="911" t="s">
        <v>19</v>
      </c>
      <c r="J379" s="898">
        <v>100</v>
      </c>
      <c r="K379" s="898">
        <v>20</v>
      </c>
      <c r="L379" s="899">
        <f>SUM(L380:L392)</f>
        <v>1084500</v>
      </c>
      <c r="M379" s="898">
        <v>20</v>
      </c>
      <c r="N379" s="899">
        <f>SUM(N380:N392)</f>
        <v>1194300</v>
      </c>
      <c r="O379" s="898">
        <v>15</v>
      </c>
      <c r="P379" s="899">
        <f>SUM(P380:P392)</f>
        <v>1311200</v>
      </c>
      <c r="Q379" s="898">
        <v>15</v>
      </c>
      <c r="R379" s="899">
        <f>SUM(R380:R392)</f>
        <v>1433500</v>
      </c>
      <c r="S379" s="898">
        <v>15</v>
      </c>
      <c r="T379" s="899">
        <f>SUM(T380:T392)</f>
        <v>1573800</v>
      </c>
      <c r="U379" s="898">
        <v>15</v>
      </c>
      <c r="V379" s="899">
        <f>SUM(V380:V392)</f>
        <v>1726400</v>
      </c>
      <c r="W379" s="912">
        <v>100</v>
      </c>
      <c r="X379" s="901"/>
      <c r="Y379" s="902" t="s">
        <v>1519</v>
      </c>
    </row>
    <row r="380" spans="2:25" ht="38.25" x14ac:dyDescent="0.25">
      <c r="B380" s="2030"/>
      <c r="C380" s="771"/>
      <c r="D380" s="771"/>
      <c r="E380" s="771"/>
      <c r="F380" s="772"/>
      <c r="G380" s="761" t="s">
        <v>38</v>
      </c>
      <c r="H380" s="761" t="s">
        <v>39</v>
      </c>
      <c r="I380" s="762" t="s">
        <v>40</v>
      </c>
      <c r="J380" s="763"/>
      <c r="K380" s="922">
        <v>12</v>
      </c>
      <c r="L380" s="773">
        <v>4500</v>
      </c>
      <c r="M380" s="922">
        <v>12</v>
      </c>
      <c r="N380" s="764">
        <v>4900</v>
      </c>
      <c r="O380" s="922">
        <v>12</v>
      </c>
      <c r="P380" s="764">
        <v>5400</v>
      </c>
      <c r="Q380" s="922">
        <v>12</v>
      </c>
      <c r="R380" s="764">
        <v>5900</v>
      </c>
      <c r="S380" s="922">
        <v>12</v>
      </c>
      <c r="T380" s="764">
        <v>6400</v>
      </c>
      <c r="U380" s="922">
        <v>12</v>
      </c>
      <c r="V380" s="764">
        <v>7000</v>
      </c>
      <c r="W380" s="923"/>
      <c r="X380" s="765"/>
      <c r="Y380" s="902" t="s">
        <v>1519</v>
      </c>
    </row>
    <row r="381" spans="2:25" ht="76.5" x14ac:dyDescent="0.25">
      <c r="B381" s="2030"/>
      <c r="C381" s="771"/>
      <c r="D381" s="771"/>
      <c r="E381" s="771"/>
      <c r="F381" s="772"/>
      <c r="G381" s="761" t="s">
        <v>41</v>
      </c>
      <c r="H381" s="760" t="s">
        <v>42</v>
      </c>
      <c r="I381" s="762" t="s">
        <v>40</v>
      </c>
      <c r="J381" s="763"/>
      <c r="K381" s="922">
        <v>12</v>
      </c>
      <c r="L381" s="773">
        <v>45000</v>
      </c>
      <c r="M381" s="922">
        <v>12</v>
      </c>
      <c r="N381" s="764">
        <v>50000</v>
      </c>
      <c r="O381" s="922">
        <v>12</v>
      </c>
      <c r="P381" s="764">
        <v>55000</v>
      </c>
      <c r="Q381" s="922">
        <v>12</v>
      </c>
      <c r="R381" s="764">
        <v>60000</v>
      </c>
      <c r="S381" s="922">
        <v>12</v>
      </c>
      <c r="T381" s="764">
        <v>66000</v>
      </c>
      <c r="U381" s="922">
        <v>12</v>
      </c>
      <c r="V381" s="764">
        <v>72600</v>
      </c>
      <c r="W381" s="923"/>
      <c r="X381" s="765"/>
      <c r="Y381" s="902" t="s">
        <v>1519</v>
      </c>
    </row>
    <row r="382" spans="2:25" ht="63.75" x14ac:dyDescent="0.25">
      <c r="B382" s="2030"/>
      <c r="C382" s="771"/>
      <c r="D382" s="771"/>
      <c r="E382" s="771"/>
      <c r="F382" s="772"/>
      <c r="G382" s="760" t="s">
        <v>2265</v>
      </c>
      <c r="H382" s="760" t="s">
        <v>2266</v>
      </c>
      <c r="I382" s="762" t="s">
        <v>40</v>
      </c>
      <c r="J382" s="763"/>
      <c r="K382" s="922">
        <v>12</v>
      </c>
      <c r="L382" s="773">
        <v>50000</v>
      </c>
      <c r="M382" s="922">
        <v>12</v>
      </c>
      <c r="N382" s="764">
        <v>55000</v>
      </c>
      <c r="O382" s="922">
        <v>12</v>
      </c>
      <c r="P382" s="764">
        <v>60000</v>
      </c>
      <c r="Q382" s="922">
        <v>12</v>
      </c>
      <c r="R382" s="764">
        <v>66000</v>
      </c>
      <c r="S382" s="922">
        <v>12</v>
      </c>
      <c r="T382" s="764">
        <v>75000</v>
      </c>
      <c r="U382" s="922">
        <v>12</v>
      </c>
      <c r="V382" s="764">
        <v>80000</v>
      </c>
      <c r="W382" s="923"/>
      <c r="X382" s="765"/>
      <c r="Y382" s="902" t="s">
        <v>1519</v>
      </c>
    </row>
    <row r="383" spans="2:25" ht="89.25" x14ac:dyDescent="0.25">
      <c r="B383" s="2030"/>
      <c r="C383" s="771"/>
      <c r="D383" s="771"/>
      <c r="E383" s="771"/>
      <c r="F383" s="772"/>
      <c r="G383" s="761" t="s">
        <v>43</v>
      </c>
      <c r="H383" s="761" t="s">
        <v>44</v>
      </c>
      <c r="I383" s="762" t="s">
        <v>40</v>
      </c>
      <c r="J383" s="763"/>
      <c r="K383" s="922">
        <v>12</v>
      </c>
      <c r="L383" s="773">
        <v>450000</v>
      </c>
      <c r="M383" s="922">
        <v>12</v>
      </c>
      <c r="N383" s="764">
        <v>500000</v>
      </c>
      <c r="O383" s="922">
        <v>12</v>
      </c>
      <c r="P383" s="764">
        <v>550000</v>
      </c>
      <c r="Q383" s="922">
        <v>12</v>
      </c>
      <c r="R383" s="764">
        <v>600000</v>
      </c>
      <c r="S383" s="922">
        <v>12</v>
      </c>
      <c r="T383" s="764">
        <v>660000</v>
      </c>
      <c r="U383" s="922">
        <v>12</v>
      </c>
      <c r="V383" s="764">
        <v>730000</v>
      </c>
      <c r="W383" s="923"/>
      <c r="X383" s="765"/>
      <c r="Y383" s="902" t="s">
        <v>1519</v>
      </c>
    </row>
    <row r="384" spans="2:25" ht="51" x14ac:dyDescent="0.25">
      <c r="B384" s="2030"/>
      <c r="C384" s="771"/>
      <c r="D384" s="771"/>
      <c r="E384" s="771"/>
      <c r="F384" s="772"/>
      <c r="G384" s="761" t="s">
        <v>45</v>
      </c>
      <c r="H384" s="760" t="s">
        <v>46</v>
      </c>
      <c r="I384" s="762" t="s">
        <v>40</v>
      </c>
      <c r="J384" s="763"/>
      <c r="K384" s="922">
        <v>12</v>
      </c>
      <c r="L384" s="773">
        <v>70000</v>
      </c>
      <c r="M384" s="922">
        <v>12</v>
      </c>
      <c r="N384" s="773">
        <v>75000</v>
      </c>
      <c r="O384" s="922">
        <v>12</v>
      </c>
      <c r="P384" s="773">
        <v>80000</v>
      </c>
      <c r="Q384" s="922">
        <v>12</v>
      </c>
      <c r="R384" s="773">
        <v>85000</v>
      </c>
      <c r="S384" s="922">
        <v>12</v>
      </c>
      <c r="T384" s="773">
        <v>90000</v>
      </c>
      <c r="U384" s="922">
        <v>12</v>
      </c>
      <c r="V384" s="773">
        <v>95000</v>
      </c>
      <c r="W384" s="923"/>
      <c r="X384" s="765"/>
      <c r="Y384" s="902" t="s">
        <v>1519</v>
      </c>
    </row>
    <row r="385" spans="2:25" ht="76.5" x14ac:dyDescent="0.25">
      <c r="B385" s="2030"/>
      <c r="C385" s="771"/>
      <c r="D385" s="771"/>
      <c r="E385" s="771"/>
      <c r="F385" s="772"/>
      <c r="G385" s="761" t="s">
        <v>47</v>
      </c>
      <c r="H385" s="760" t="s">
        <v>48</v>
      </c>
      <c r="I385" s="762" t="s">
        <v>40</v>
      </c>
      <c r="J385" s="763"/>
      <c r="K385" s="922">
        <v>12</v>
      </c>
      <c r="L385" s="773">
        <v>38500</v>
      </c>
      <c r="M385" s="922">
        <v>12</v>
      </c>
      <c r="N385" s="764">
        <v>40000</v>
      </c>
      <c r="O385" s="922">
        <v>12</v>
      </c>
      <c r="P385" s="764">
        <v>45000</v>
      </c>
      <c r="Q385" s="922">
        <v>12</v>
      </c>
      <c r="R385" s="764">
        <v>50000</v>
      </c>
      <c r="S385" s="922">
        <v>12</v>
      </c>
      <c r="T385" s="764">
        <v>55000</v>
      </c>
      <c r="U385" s="922">
        <v>12</v>
      </c>
      <c r="V385" s="764">
        <v>60000</v>
      </c>
      <c r="W385" s="923"/>
      <c r="X385" s="765"/>
      <c r="Y385" s="902" t="s">
        <v>1519</v>
      </c>
    </row>
    <row r="386" spans="2:25" ht="25.5" x14ac:dyDescent="0.25">
      <c r="B386" s="2030"/>
      <c r="C386" s="771"/>
      <c r="D386" s="771"/>
      <c r="E386" s="771"/>
      <c r="F386" s="772"/>
      <c r="G386" s="761" t="s">
        <v>50</v>
      </c>
      <c r="H386" s="760" t="s">
        <v>51</v>
      </c>
      <c r="I386" s="762" t="s">
        <v>40</v>
      </c>
      <c r="J386" s="763"/>
      <c r="K386" s="922">
        <v>12</v>
      </c>
      <c r="L386" s="773">
        <v>49500</v>
      </c>
      <c r="M386" s="922">
        <v>12</v>
      </c>
      <c r="N386" s="764">
        <v>55000</v>
      </c>
      <c r="O386" s="922">
        <v>12</v>
      </c>
      <c r="P386" s="764">
        <v>60000</v>
      </c>
      <c r="Q386" s="922">
        <v>12</v>
      </c>
      <c r="R386" s="764">
        <v>65000</v>
      </c>
      <c r="S386" s="922">
        <v>12</v>
      </c>
      <c r="T386" s="764">
        <v>70000</v>
      </c>
      <c r="U386" s="922">
        <v>12</v>
      </c>
      <c r="V386" s="764">
        <v>75000</v>
      </c>
      <c r="W386" s="923"/>
      <c r="X386" s="765"/>
      <c r="Y386" s="902" t="s">
        <v>1519</v>
      </c>
    </row>
    <row r="387" spans="2:25" ht="51" x14ac:dyDescent="0.25">
      <c r="B387" s="2030"/>
      <c r="C387" s="771"/>
      <c r="D387" s="771"/>
      <c r="E387" s="771"/>
      <c r="F387" s="772"/>
      <c r="G387" s="761" t="s">
        <v>52</v>
      </c>
      <c r="H387" s="760" t="s">
        <v>53</v>
      </c>
      <c r="I387" s="762" t="s">
        <v>40</v>
      </c>
      <c r="J387" s="763"/>
      <c r="K387" s="922">
        <v>12</v>
      </c>
      <c r="L387" s="773">
        <v>33000</v>
      </c>
      <c r="M387" s="922">
        <v>12</v>
      </c>
      <c r="N387" s="764">
        <v>36000</v>
      </c>
      <c r="O387" s="922">
        <v>12</v>
      </c>
      <c r="P387" s="764">
        <v>40000</v>
      </c>
      <c r="Q387" s="922">
        <v>12</v>
      </c>
      <c r="R387" s="764">
        <v>44000</v>
      </c>
      <c r="S387" s="922">
        <v>12</v>
      </c>
      <c r="T387" s="764">
        <v>48000</v>
      </c>
      <c r="U387" s="922">
        <v>12</v>
      </c>
      <c r="V387" s="764">
        <v>53000</v>
      </c>
      <c r="W387" s="923"/>
      <c r="X387" s="765"/>
      <c r="Y387" s="902" t="s">
        <v>1519</v>
      </c>
    </row>
    <row r="388" spans="2:25" ht="51" x14ac:dyDescent="0.25">
      <c r="B388" s="2030"/>
      <c r="C388" s="771"/>
      <c r="D388" s="771"/>
      <c r="E388" s="771"/>
      <c r="F388" s="772"/>
      <c r="G388" s="761" t="s">
        <v>54</v>
      </c>
      <c r="H388" s="760" t="s">
        <v>55</v>
      </c>
      <c r="I388" s="762" t="s">
        <v>40</v>
      </c>
      <c r="J388" s="763"/>
      <c r="K388" s="922">
        <v>12</v>
      </c>
      <c r="L388" s="773">
        <v>10000</v>
      </c>
      <c r="M388" s="922">
        <v>12</v>
      </c>
      <c r="N388" s="764">
        <v>11000</v>
      </c>
      <c r="O388" s="922">
        <v>12</v>
      </c>
      <c r="P388" s="764">
        <v>12000</v>
      </c>
      <c r="Q388" s="922">
        <v>12</v>
      </c>
      <c r="R388" s="764">
        <v>13300</v>
      </c>
      <c r="S388" s="922">
        <v>12</v>
      </c>
      <c r="T388" s="764">
        <v>14600</v>
      </c>
      <c r="U388" s="922">
        <v>12</v>
      </c>
      <c r="V388" s="764">
        <v>16100</v>
      </c>
      <c r="W388" s="923"/>
      <c r="X388" s="765"/>
      <c r="Y388" s="902" t="s">
        <v>1519</v>
      </c>
    </row>
    <row r="389" spans="2:25" ht="63.75" x14ac:dyDescent="0.25">
      <c r="B389" s="2030"/>
      <c r="C389" s="771"/>
      <c r="D389" s="771"/>
      <c r="E389" s="771"/>
      <c r="F389" s="772"/>
      <c r="G389" s="761" t="s">
        <v>56</v>
      </c>
      <c r="H389" s="760" t="s">
        <v>57</v>
      </c>
      <c r="I389" s="762" t="s">
        <v>40</v>
      </c>
      <c r="J389" s="763"/>
      <c r="K389" s="922">
        <v>12</v>
      </c>
      <c r="L389" s="773">
        <v>4000</v>
      </c>
      <c r="M389" s="922">
        <v>12</v>
      </c>
      <c r="N389" s="764">
        <v>4400</v>
      </c>
      <c r="O389" s="922">
        <v>12</v>
      </c>
      <c r="P389" s="764">
        <v>4800</v>
      </c>
      <c r="Q389" s="922">
        <v>12</v>
      </c>
      <c r="R389" s="764">
        <v>5300</v>
      </c>
      <c r="S389" s="922">
        <v>12</v>
      </c>
      <c r="T389" s="764">
        <v>5800</v>
      </c>
      <c r="U389" s="922">
        <v>12</v>
      </c>
      <c r="V389" s="764">
        <v>6400</v>
      </c>
      <c r="W389" s="923"/>
      <c r="X389" s="765"/>
      <c r="Y389" s="902" t="s">
        <v>1519</v>
      </c>
    </row>
    <row r="390" spans="2:25" ht="63.75" x14ac:dyDescent="0.25">
      <c r="B390" s="2030"/>
      <c r="C390" s="771"/>
      <c r="D390" s="771"/>
      <c r="E390" s="771"/>
      <c r="F390" s="772"/>
      <c r="G390" s="761" t="s">
        <v>58</v>
      </c>
      <c r="H390" s="760" t="s">
        <v>59</v>
      </c>
      <c r="I390" s="762" t="s">
        <v>40</v>
      </c>
      <c r="J390" s="763"/>
      <c r="K390" s="922">
        <v>12</v>
      </c>
      <c r="L390" s="773">
        <v>30000</v>
      </c>
      <c r="M390" s="922">
        <v>12</v>
      </c>
      <c r="N390" s="764">
        <v>33000</v>
      </c>
      <c r="O390" s="922">
        <v>12</v>
      </c>
      <c r="P390" s="764">
        <v>36000</v>
      </c>
      <c r="Q390" s="922">
        <v>12</v>
      </c>
      <c r="R390" s="764">
        <v>40000</v>
      </c>
      <c r="S390" s="922">
        <v>12</v>
      </c>
      <c r="T390" s="764">
        <v>44000</v>
      </c>
      <c r="U390" s="922">
        <v>12</v>
      </c>
      <c r="V390" s="764">
        <v>48300</v>
      </c>
      <c r="W390" s="923"/>
      <c r="X390" s="765"/>
      <c r="Y390" s="902" t="s">
        <v>1519</v>
      </c>
    </row>
    <row r="391" spans="2:25" ht="63.75" x14ac:dyDescent="0.25">
      <c r="B391" s="2030"/>
      <c r="C391" s="771"/>
      <c r="D391" s="771"/>
      <c r="E391" s="771"/>
      <c r="F391" s="772"/>
      <c r="G391" s="761" t="s">
        <v>60</v>
      </c>
      <c r="H391" s="760" t="s">
        <v>61</v>
      </c>
      <c r="I391" s="762" t="s">
        <v>40</v>
      </c>
      <c r="J391" s="763"/>
      <c r="K391" s="922">
        <v>12</v>
      </c>
      <c r="L391" s="773">
        <v>200000</v>
      </c>
      <c r="M391" s="922">
        <v>12</v>
      </c>
      <c r="N391" s="764">
        <v>220000</v>
      </c>
      <c r="O391" s="922">
        <v>12</v>
      </c>
      <c r="P391" s="764">
        <v>242000</v>
      </c>
      <c r="Q391" s="922">
        <v>12</v>
      </c>
      <c r="R391" s="764">
        <v>266000</v>
      </c>
      <c r="S391" s="922">
        <v>12</v>
      </c>
      <c r="T391" s="764">
        <v>293000</v>
      </c>
      <c r="U391" s="922">
        <v>12</v>
      </c>
      <c r="V391" s="764">
        <v>322000</v>
      </c>
      <c r="W391" s="923"/>
      <c r="X391" s="765"/>
      <c r="Y391" s="902" t="s">
        <v>1519</v>
      </c>
    </row>
    <row r="392" spans="2:25" ht="63.75" x14ac:dyDescent="0.25">
      <c r="B392" s="2030"/>
      <c r="C392" s="771"/>
      <c r="D392" s="771"/>
      <c r="E392" s="771"/>
      <c r="F392" s="772"/>
      <c r="G392" s="760" t="s">
        <v>63</v>
      </c>
      <c r="H392" s="760" t="s">
        <v>64</v>
      </c>
      <c r="I392" s="762" t="s">
        <v>40</v>
      </c>
      <c r="J392" s="763"/>
      <c r="K392" s="922">
        <v>12</v>
      </c>
      <c r="L392" s="773">
        <v>100000</v>
      </c>
      <c r="M392" s="922">
        <v>12</v>
      </c>
      <c r="N392" s="764">
        <v>110000</v>
      </c>
      <c r="O392" s="922">
        <v>12</v>
      </c>
      <c r="P392" s="764">
        <v>121000</v>
      </c>
      <c r="Q392" s="922">
        <v>12</v>
      </c>
      <c r="R392" s="764">
        <v>133000</v>
      </c>
      <c r="S392" s="922">
        <v>12</v>
      </c>
      <c r="T392" s="764">
        <v>146000</v>
      </c>
      <c r="U392" s="922">
        <v>12</v>
      </c>
      <c r="V392" s="764">
        <v>161000</v>
      </c>
      <c r="W392" s="904"/>
      <c r="X392" s="765"/>
      <c r="Y392" s="902" t="s">
        <v>1519</v>
      </c>
    </row>
    <row r="393" spans="2:25" ht="84" x14ac:dyDescent="0.25">
      <c r="B393" s="2030"/>
      <c r="C393" s="771"/>
      <c r="D393" s="771"/>
      <c r="E393" s="771"/>
      <c r="F393" s="771"/>
      <c r="G393" s="759" t="s">
        <v>65</v>
      </c>
      <c r="H393" s="759" t="s">
        <v>66</v>
      </c>
      <c r="I393" s="911" t="s">
        <v>19</v>
      </c>
      <c r="J393" s="898">
        <v>100</v>
      </c>
      <c r="K393" s="898">
        <v>20</v>
      </c>
      <c r="L393" s="899">
        <f>SUM(L394:L400)</f>
        <v>687000</v>
      </c>
      <c r="M393" s="898">
        <v>20</v>
      </c>
      <c r="N393" s="899">
        <f>SUM(N394:N400)</f>
        <v>881700</v>
      </c>
      <c r="O393" s="898">
        <v>15</v>
      </c>
      <c r="P393" s="899">
        <f>SUM(P394:P400)</f>
        <v>1077200</v>
      </c>
      <c r="Q393" s="898">
        <v>15</v>
      </c>
      <c r="R393" s="899">
        <f>SUM(R394:R400)</f>
        <v>919400</v>
      </c>
      <c r="S393" s="898">
        <v>15</v>
      </c>
      <c r="T393" s="899">
        <f>SUM(T394:T400)</f>
        <v>1101500</v>
      </c>
      <c r="U393" s="898">
        <v>15</v>
      </c>
      <c r="V393" s="899">
        <f>SUM(V394:V400)</f>
        <v>15265500</v>
      </c>
      <c r="W393" s="900">
        <v>100</v>
      </c>
      <c r="X393" s="901"/>
      <c r="Y393" s="902" t="s">
        <v>1519</v>
      </c>
    </row>
    <row r="394" spans="2:25" ht="63.75" x14ac:dyDescent="0.25">
      <c r="B394" s="2030"/>
      <c r="C394" s="771"/>
      <c r="D394" s="771"/>
      <c r="E394" s="771"/>
      <c r="F394" s="772"/>
      <c r="G394" s="761" t="s">
        <v>2267</v>
      </c>
      <c r="H394" s="760" t="s">
        <v>2268</v>
      </c>
      <c r="I394" s="762" t="s">
        <v>75</v>
      </c>
      <c r="J394" s="766"/>
      <c r="K394" s="922">
        <v>6</v>
      </c>
      <c r="L394" s="773">
        <v>415000</v>
      </c>
      <c r="M394" s="763">
        <v>2</v>
      </c>
      <c r="N394" s="913">
        <v>700000</v>
      </c>
      <c r="O394" s="763">
        <v>2</v>
      </c>
      <c r="P394" s="764">
        <v>750000</v>
      </c>
      <c r="Q394" s="763">
        <v>2</v>
      </c>
      <c r="R394" s="764">
        <v>700000</v>
      </c>
      <c r="S394" s="917">
        <v>2</v>
      </c>
      <c r="T394" s="764">
        <v>700000</v>
      </c>
      <c r="U394" s="763">
        <v>1</v>
      </c>
      <c r="V394" s="764">
        <v>15000000</v>
      </c>
      <c r="W394" s="904"/>
      <c r="X394" s="765"/>
      <c r="Y394" s="902" t="s">
        <v>1519</v>
      </c>
    </row>
    <row r="395" spans="2:25" ht="25.5" x14ac:dyDescent="0.25">
      <c r="B395" s="2030"/>
      <c r="C395" s="771"/>
      <c r="D395" s="771"/>
      <c r="E395" s="771"/>
      <c r="F395" s="772"/>
      <c r="G395" s="761" t="s">
        <v>2269</v>
      </c>
      <c r="H395" s="761" t="s">
        <v>2270</v>
      </c>
      <c r="I395" s="762" t="s">
        <v>75</v>
      </c>
      <c r="J395" s="763"/>
      <c r="K395" s="922">
        <v>1</v>
      </c>
      <c r="L395" s="773">
        <v>27000</v>
      </c>
      <c r="M395" s="763">
        <v>1</v>
      </c>
      <c r="N395" s="764">
        <v>29700</v>
      </c>
      <c r="O395" s="763">
        <v>1</v>
      </c>
      <c r="P395" s="764">
        <v>32700</v>
      </c>
      <c r="Q395" s="763">
        <v>1</v>
      </c>
      <c r="R395" s="764">
        <v>35900</v>
      </c>
      <c r="S395" s="763">
        <v>1</v>
      </c>
      <c r="T395" s="764">
        <v>39500</v>
      </c>
      <c r="U395" s="763">
        <v>1</v>
      </c>
      <c r="V395" s="764">
        <v>43500</v>
      </c>
      <c r="W395" s="904"/>
      <c r="X395" s="765"/>
      <c r="Y395" s="902" t="s">
        <v>1519</v>
      </c>
    </row>
    <row r="396" spans="2:25" ht="25.5" x14ac:dyDescent="0.25">
      <c r="B396" s="2030"/>
      <c r="C396" s="771"/>
      <c r="D396" s="771"/>
      <c r="E396" s="771"/>
      <c r="F396" s="772"/>
      <c r="G396" s="760" t="s">
        <v>149</v>
      </c>
      <c r="H396" s="760" t="s">
        <v>2270</v>
      </c>
      <c r="I396" s="762" t="s">
        <v>75</v>
      </c>
      <c r="J396" s="763"/>
      <c r="K396" s="922">
        <v>1</v>
      </c>
      <c r="L396" s="773">
        <v>70000</v>
      </c>
      <c r="M396" s="763">
        <v>1</v>
      </c>
      <c r="N396" s="764">
        <v>77000</v>
      </c>
      <c r="O396" s="763">
        <v>1</v>
      </c>
      <c r="P396" s="764">
        <v>85000</v>
      </c>
      <c r="Q396" s="763">
        <v>1</v>
      </c>
      <c r="R396" s="764">
        <v>93000</v>
      </c>
      <c r="S396" s="763">
        <v>1</v>
      </c>
      <c r="T396" s="764">
        <v>102000</v>
      </c>
      <c r="U396" s="763">
        <v>1</v>
      </c>
      <c r="V396" s="764">
        <v>112000</v>
      </c>
      <c r="W396" s="904"/>
      <c r="X396" s="765"/>
      <c r="Y396" s="902" t="s">
        <v>1519</v>
      </c>
    </row>
    <row r="397" spans="2:25" ht="51" x14ac:dyDescent="0.25">
      <c r="B397" s="2030"/>
      <c r="C397" s="771"/>
      <c r="D397" s="771"/>
      <c r="E397" s="771"/>
      <c r="F397" s="772"/>
      <c r="G397" s="761" t="s">
        <v>70</v>
      </c>
      <c r="H397" s="761" t="s">
        <v>2271</v>
      </c>
      <c r="I397" s="762" t="s">
        <v>72</v>
      </c>
      <c r="J397" s="763"/>
      <c r="K397" s="922">
        <v>4</v>
      </c>
      <c r="L397" s="773">
        <v>70000</v>
      </c>
      <c r="M397" s="763">
        <v>4</v>
      </c>
      <c r="N397" s="764">
        <v>75000</v>
      </c>
      <c r="O397" s="763">
        <v>4</v>
      </c>
      <c r="P397" s="764">
        <v>82000</v>
      </c>
      <c r="Q397" s="763">
        <v>4</v>
      </c>
      <c r="R397" s="764">
        <v>90500</v>
      </c>
      <c r="S397" s="763">
        <v>4</v>
      </c>
      <c r="T397" s="764">
        <v>100000</v>
      </c>
      <c r="U397" s="763">
        <v>4</v>
      </c>
      <c r="V397" s="764">
        <v>110000</v>
      </c>
      <c r="W397" s="904"/>
      <c r="X397" s="765"/>
      <c r="Y397" s="902" t="s">
        <v>1519</v>
      </c>
    </row>
    <row r="398" spans="2:25" ht="51" x14ac:dyDescent="0.25">
      <c r="B398" s="2030"/>
      <c r="C398" s="771"/>
      <c r="D398" s="771"/>
      <c r="E398" s="771"/>
      <c r="F398" s="772"/>
      <c r="G398" s="760" t="s">
        <v>158</v>
      </c>
      <c r="H398" s="761" t="s">
        <v>2272</v>
      </c>
      <c r="I398" s="762" t="s">
        <v>75</v>
      </c>
      <c r="J398" s="763"/>
      <c r="K398" s="922"/>
      <c r="L398" s="924">
        <v>100000</v>
      </c>
      <c r="M398" s="922">
        <v>0</v>
      </c>
      <c r="N398" s="913">
        <v>0</v>
      </c>
      <c r="O398" s="922"/>
      <c r="P398" s="924">
        <v>120000</v>
      </c>
      <c r="Q398" s="922">
        <v>0</v>
      </c>
      <c r="R398" s="913">
        <v>0</v>
      </c>
      <c r="S398" s="922"/>
      <c r="T398" s="924">
        <v>150000</v>
      </c>
      <c r="U398" s="922">
        <v>0</v>
      </c>
      <c r="V398" s="913">
        <v>0</v>
      </c>
      <c r="W398" s="904"/>
      <c r="X398" s="765"/>
      <c r="Y398" s="902" t="s">
        <v>1519</v>
      </c>
    </row>
    <row r="399" spans="2:25" ht="38.25" x14ac:dyDescent="0.25">
      <c r="B399" s="2030"/>
      <c r="C399" s="771"/>
      <c r="D399" s="771"/>
      <c r="E399" s="771"/>
      <c r="F399" s="772"/>
      <c r="G399" s="760"/>
      <c r="H399" s="761" t="s">
        <v>2273</v>
      </c>
      <c r="I399" s="762" t="s">
        <v>75</v>
      </c>
      <c r="J399" s="763"/>
      <c r="K399" s="922"/>
      <c r="L399" s="924"/>
      <c r="M399" s="922"/>
      <c r="N399" s="913"/>
      <c r="O399" s="922"/>
      <c r="P399" s="924"/>
      <c r="Q399" s="922"/>
      <c r="R399" s="913"/>
      <c r="S399" s="922"/>
      <c r="T399" s="924"/>
      <c r="U399" s="922"/>
      <c r="V399" s="913"/>
      <c r="W399" s="904"/>
      <c r="X399" s="765"/>
      <c r="Y399" s="902" t="s">
        <v>1519</v>
      </c>
    </row>
    <row r="400" spans="2:25" ht="38.25" x14ac:dyDescent="0.25">
      <c r="B400" s="2030"/>
      <c r="C400" s="771"/>
      <c r="D400" s="771"/>
      <c r="E400" s="771"/>
      <c r="F400" s="772"/>
      <c r="G400" s="760" t="s">
        <v>73</v>
      </c>
      <c r="H400" s="761" t="s">
        <v>76</v>
      </c>
      <c r="I400" s="762" t="s">
        <v>75</v>
      </c>
      <c r="J400" s="763"/>
      <c r="K400" s="763"/>
      <c r="L400" s="764">
        <v>5000</v>
      </c>
      <c r="M400" s="763">
        <v>0</v>
      </c>
      <c r="N400" s="764">
        <v>0</v>
      </c>
      <c r="O400" s="763"/>
      <c r="P400" s="764">
        <v>7500</v>
      </c>
      <c r="Q400" s="763">
        <v>0</v>
      </c>
      <c r="R400" s="764">
        <v>0</v>
      </c>
      <c r="S400" s="763"/>
      <c r="T400" s="764">
        <v>10000</v>
      </c>
      <c r="U400" s="763">
        <v>0</v>
      </c>
      <c r="V400" s="764"/>
      <c r="W400" s="904"/>
      <c r="X400" s="765"/>
      <c r="Y400" s="902" t="s">
        <v>1519</v>
      </c>
    </row>
    <row r="401" spans="2:25" ht="60" x14ac:dyDescent="0.25">
      <c r="B401" s="2030"/>
      <c r="C401" s="771"/>
      <c r="D401" s="771"/>
      <c r="E401" s="771"/>
      <c r="F401" s="771"/>
      <c r="G401" s="759" t="s">
        <v>1647</v>
      </c>
      <c r="H401" s="759" t="s">
        <v>3111</v>
      </c>
      <c r="I401" s="897" t="s">
        <v>79</v>
      </c>
      <c r="J401" s="898">
        <v>0</v>
      </c>
      <c r="K401" s="898">
        <v>1</v>
      </c>
      <c r="L401" s="899">
        <f>SUM(L402)</f>
        <v>10000</v>
      </c>
      <c r="M401" s="898">
        <v>1</v>
      </c>
      <c r="N401" s="899">
        <f>SUM(N402)</f>
        <v>10000</v>
      </c>
      <c r="O401" s="898">
        <v>1</v>
      </c>
      <c r="P401" s="899">
        <f>SUM(P402)</f>
        <v>10000</v>
      </c>
      <c r="Q401" s="898">
        <v>1</v>
      </c>
      <c r="R401" s="899">
        <f>SUM(R402)</f>
        <v>10000</v>
      </c>
      <c r="S401" s="898">
        <v>1</v>
      </c>
      <c r="T401" s="899">
        <f>SUM(T402)</f>
        <v>10000</v>
      </c>
      <c r="U401" s="898">
        <v>1</v>
      </c>
      <c r="V401" s="899">
        <f>SUM(V402)</f>
        <v>10000</v>
      </c>
      <c r="W401" s="912">
        <v>6</v>
      </c>
      <c r="X401" s="901"/>
      <c r="Y401" s="902" t="s">
        <v>1519</v>
      </c>
    </row>
    <row r="402" spans="2:25" ht="51" x14ac:dyDescent="0.25">
      <c r="B402" s="2030"/>
      <c r="C402" s="771"/>
      <c r="D402" s="771"/>
      <c r="E402" s="771"/>
      <c r="F402" s="772"/>
      <c r="G402" s="905" t="s">
        <v>169</v>
      </c>
      <c r="H402" s="905" t="s">
        <v>2274</v>
      </c>
      <c r="I402" s="906" t="s">
        <v>79</v>
      </c>
      <c r="J402" s="763"/>
      <c r="K402" s="766">
        <v>1</v>
      </c>
      <c r="L402" s="764">
        <v>10000</v>
      </c>
      <c r="M402" s="766">
        <v>1</v>
      </c>
      <c r="N402" s="764">
        <v>10000</v>
      </c>
      <c r="O402" s="766">
        <v>1</v>
      </c>
      <c r="P402" s="764">
        <v>10000</v>
      </c>
      <c r="Q402" s="766">
        <v>1</v>
      </c>
      <c r="R402" s="764">
        <v>10000</v>
      </c>
      <c r="S402" s="766">
        <v>1</v>
      </c>
      <c r="T402" s="764">
        <v>10000</v>
      </c>
      <c r="U402" s="766">
        <v>1</v>
      </c>
      <c r="V402" s="764">
        <v>10000</v>
      </c>
      <c r="W402" s="923"/>
      <c r="X402" s="765"/>
      <c r="Y402" s="902" t="s">
        <v>1519</v>
      </c>
    </row>
    <row r="403" spans="2:25" ht="84" x14ac:dyDescent="0.25">
      <c r="B403" s="2030"/>
      <c r="C403" s="771"/>
      <c r="D403" s="771"/>
      <c r="E403" s="771"/>
      <c r="F403" s="771"/>
      <c r="G403" s="910" t="s">
        <v>408</v>
      </c>
      <c r="H403" s="910" t="s">
        <v>1644</v>
      </c>
      <c r="I403" s="925" t="s">
        <v>79</v>
      </c>
      <c r="J403" s="898">
        <v>25</v>
      </c>
      <c r="K403" s="898">
        <v>6</v>
      </c>
      <c r="L403" s="899">
        <f>SUM(L404)</f>
        <v>28000</v>
      </c>
      <c r="M403" s="898">
        <v>6</v>
      </c>
      <c r="N403" s="899">
        <f>SUM(N404)</f>
        <v>20000</v>
      </c>
      <c r="O403" s="898">
        <v>6</v>
      </c>
      <c r="P403" s="899">
        <f>SUM(P404)</f>
        <v>20000</v>
      </c>
      <c r="Q403" s="898">
        <v>6</v>
      </c>
      <c r="R403" s="899">
        <f>SUM(R404)</f>
        <v>25000</v>
      </c>
      <c r="S403" s="898">
        <v>6</v>
      </c>
      <c r="T403" s="899">
        <f>SUM(T404)</f>
        <v>25000</v>
      </c>
      <c r="U403" s="898">
        <v>6</v>
      </c>
      <c r="V403" s="899">
        <f>SUM(V404)</f>
        <v>25000</v>
      </c>
      <c r="W403" s="912">
        <v>36</v>
      </c>
      <c r="X403" s="901"/>
      <c r="Y403" s="902" t="s">
        <v>1519</v>
      </c>
    </row>
    <row r="404" spans="2:25" ht="51" x14ac:dyDescent="0.25">
      <c r="B404" s="2030"/>
      <c r="C404" s="771"/>
      <c r="D404" s="771"/>
      <c r="E404" s="771"/>
      <c r="F404" s="772"/>
      <c r="G404" s="761" t="s">
        <v>2275</v>
      </c>
      <c r="H404" s="761" t="s">
        <v>2276</v>
      </c>
      <c r="I404" s="762" t="s">
        <v>79</v>
      </c>
      <c r="J404" s="763"/>
      <c r="K404" s="763">
        <v>6</v>
      </c>
      <c r="L404" s="764">
        <v>28000</v>
      </c>
      <c r="M404" s="763">
        <v>6</v>
      </c>
      <c r="N404" s="764">
        <v>20000</v>
      </c>
      <c r="O404" s="763">
        <v>6</v>
      </c>
      <c r="P404" s="764">
        <v>20000</v>
      </c>
      <c r="Q404" s="763">
        <v>6</v>
      </c>
      <c r="R404" s="764">
        <v>25000</v>
      </c>
      <c r="S404" s="763">
        <v>6</v>
      </c>
      <c r="T404" s="764">
        <v>25000</v>
      </c>
      <c r="U404" s="763">
        <v>6</v>
      </c>
      <c r="V404" s="764">
        <v>25000</v>
      </c>
      <c r="W404" s="923"/>
      <c r="X404" s="765"/>
      <c r="Y404" s="902" t="s">
        <v>1519</v>
      </c>
    </row>
    <row r="405" spans="2:25" ht="48" x14ac:dyDescent="0.25">
      <c r="B405" s="2030"/>
      <c r="C405" s="771"/>
      <c r="D405" s="771"/>
      <c r="E405" s="771"/>
      <c r="F405" s="771"/>
      <c r="G405" s="759" t="s">
        <v>1649</v>
      </c>
      <c r="H405" s="759" t="s">
        <v>3203</v>
      </c>
      <c r="I405" s="911" t="s">
        <v>100</v>
      </c>
      <c r="J405" s="898">
        <v>0</v>
      </c>
      <c r="K405" s="898">
        <v>34</v>
      </c>
      <c r="L405" s="899">
        <f>SUM(L406)</f>
        <v>115000</v>
      </c>
      <c r="M405" s="898">
        <v>12</v>
      </c>
      <c r="N405" s="899">
        <f>SUM(N406)</f>
        <v>50000</v>
      </c>
      <c r="O405" s="898">
        <v>12</v>
      </c>
      <c r="P405" s="899">
        <f>SUM(P406)</f>
        <v>55000</v>
      </c>
      <c r="Q405" s="898">
        <v>12</v>
      </c>
      <c r="R405" s="899">
        <f>SUM(R406)</f>
        <v>60000</v>
      </c>
      <c r="S405" s="898">
        <v>12</v>
      </c>
      <c r="T405" s="899">
        <f>SUM(T406)</f>
        <v>65000</v>
      </c>
      <c r="U405" s="898">
        <v>12</v>
      </c>
      <c r="V405" s="899">
        <f>SUM(V406)</f>
        <v>70000</v>
      </c>
      <c r="W405" s="900">
        <v>82</v>
      </c>
      <c r="X405" s="901"/>
      <c r="Y405" s="902" t="s">
        <v>1519</v>
      </c>
    </row>
    <row r="406" spans="2:25" ht="38.25" x14ac:dyDescent="0.25">
      <c r="B406" s="2030"/>
      <c r="C406" s="960"/>
      <c r="D406" s="960"/>
      <c r="E406" s="960"/>
      <c r="F406" s="774"/>
      <c r="G406" s="761" t="s">
        <v>2277</v>
      </c>
      <c r="H406" s="761" t="s">
        <v>2278</v>
      </c>
      <c r="I406" s="762" t="s">
        <v>100</v>
      </c>
      <c r="J406" s="763"/>
      <c r="K406" s="763">
        <v>34</v>
      </c>
      <c r="L406" s="764">
        <v>115000</v>
      </c>
      <c r="M406" s="763">
        <v>12</v>
      </c>
      <c r="N406" s="764">
        <v>50000</v>
      </c>
      <c r="O406" s="763">
        <v>12</v>
      </c>
      <c r="P406" s="764">
        <v>55000</v>
      </c>
      <c r="Q406" s="763">
        <v>12</v>
      </c>
      <c r="R406" s="764">
        <v>60000</v>
      </c>
      <c r="S406" s="763">
        <v>12</v>
      </c>
      <c r="T406" s="764">
        <v>65000</v>
      </c>
      <c r="U406" s="763">
        <v>12</v>
      </c>
      <c r="V406" s="764">
        <v>70000</v>
      </c>
      <c r="W406" s="904"/>
      <c r="X406" s="765"/>
      <c r="Y406" s="902" t="s">
        <v>1519</v>
      </c>
    </row>
    <row r="407" spans="2:25" ht="13.5" thickBot="1" x14ac:dyDescent="0.3">
      <c r="B407" s="2032" t="s">
        <v>3204</v>
      </c>
      <c r="C407" s="2033"/>
      <c r="D407" s="2033"/>
      <c r="E407" s="2033"/>
      <c r="F407" s="2034"/>
      <c r="G407" s="926"/>
      <c r="H407" s="927"/>
      <c r="I407" s="928"/>
      <c r="J407" s="929"/>
      <c r="K407" s="929"/>
      <c r="L407" s="930">
        <f>SUM(L342:L406)/2</f>
        <v>20668626</v>
      </c>
      <c r="M407" s="929"/>
      <c r="N407" s="930">
        <f>SUM(N342:N406)/2</f>
        <v>10483200</v>
      </c>
      <c r="O407" s="929"/>
      <c r="P407" s="930">
        <f>SUM(P342:P406)/2</f>
        <v>11637600</v>
      </c>
      <c r="Q407" s="929"/>
      <c r="R407" s="930">
        <f>SUM(R342:R406)/2</f>
        <v>12821500</v>
      </c>
      <c r="S407" s="929"/>
      <c r="T407" s="930">
        <f>SUM(T342:T406)/2</f>
        <v>14296340</v>
      </c>
      <c r="U407" s="929"/>
      <c r="V407" s="930">
        <f>SUM(V342:V406)/2</f>
        <v>30259124</v>
      </c>
      <c r="W407" s="931"/>
      <c r="X407" s="932"/>
      <c r="Y407" s="932"/>
    </row>
    <row r="408" spans="2:25" ht="13.5" thickTop="1" x14ac:dyDescent="0.25"/>
    <row r="409" spans="2:25" ht="13.5" thickBot="1" x14ac:dyDescent="0.3">
      <c r="B409" s="219" t="s">
        <v>1601</v>
      </c>
    </row>
    <row r="410" spans="2:25" s="219" customFormat="1" thickTop="1" x14ac:dyDescent="0.2">
      <c r="B410" s="1932" t="s">
        <v>1</v>
      </c>
      <c r="C410" s="1934" t="s">
        <v>2</v>
      </c>
      <c r="D410" s="1934" t="s">
        <v>3</v>
      </c>
      <c r="E410" s="1934" t="s">
        <v>4</v>
      </c>
      <c r="F410" s="1934" t="s">
        <v>5</v>
      </c>
      <c r="G410" s="1934" t="s">
        <v>6</v>
      </c>
      <c r="H410" s="1934" t="s">
        <v>1854</v>
      </c>
      <c r="I410" s="1934" t="s">
        <v>31</v>
      </c>
      <c r="J410" s="1936" t="s">
        <v>1855</v>
      </c>
      <c r="K410" s="1934" t="s">
        <v>7</v>
      </c>
      <c r="L410" s="1934"/>
      <c r="M410" s="1934"/>
      <c r="N410" s="1934"/>
      <c r="O410" s="1934"/>
      <c r="P410" s="1934"/>
      <c r="Q410" s="1934"/>
      <c r="R410" s="1934"/>
      <c r="S410" s="1934"/>
      <c r="T410" s="1934"/>
      <c r="U410" s="1934"/>
      <c r="V410" s="1934"/>
      <c r="W410" s="1934"/>
      <c r="X410" s="1934" t="s">
        <v>8</v>
      </c>
      <c r="Y410" s="1938" t="s">
        <v>1856</v>
      </c>
    </row>
    <row r="411" spans="2:25" s="219" customFormat="1" ht="12" x14ac:dyDescent="0.2">
      <c r="B411" s="1933"/>
      <c r="C411" s="1935"/>
      <c r="D411" s="1935"/>
      <c r="E411" s="1935"/>
      <c r="F411" s="1935"/>
      <c r="G411" s="1935"/>
      <c r="H411" s="1935"/>
      <c r="I411" s="1935"/>
      <c r="J411" s="1937"/>
      <c r="K411" s="1935">
        <v>2016</v>
      </c>
      <c r="L411" s="1935"/>
      <c r="M411" s="1935">
        <v>2017</v>
      </c>
      <c r="N411" s="1935"/>
      <c r="O411" s="1935">
        <v>2018</v>
      </c>
      <c r="P411" s="1935"/>
      <c r="Q411" s="1935">
        <v>2019</v>
      </c>
      <c r="R411" s="1935"/>
      <c r="S411" s="1935">
        <v>2020</v>
      </c>
      <c r="T411" s="1935"/>
      <c r="U411" s="1935">
        <v>2021</v>
      </c>
      <c r="V411" s="1935"/>
      <c r="W411" s="1940" t="s">
        <v>1857</v>
      </c>
      <c r="X411" s="1935"/>
      <c r="Y411" s="1939"/>
    </row>
    <row r="412" spans="2:25" s="219" customFormat="1" ht="12" x14ac:dyDescent="0.2">
      <c r="B412" s="1933"/>
      <c r="C412" s="1935"/>
      <c r="D412" s="1935"/>
      <c r="E412" s="1935"/>
      <c r="F412" s="1935"/>
      <c r="G412" s="1935"/>
      <c r="H412" s="1935"/>
      <c r="I412" s="1935"/>
      <c r="J412" s="1937"/>
      <c r="K412" s="707" t="s">
        <v>1858</v>
      </c>
      <c r="L412" s="1889" t="s">
        <v>1355</v>
      </c>
      <c r="M412" s="844" t="s">
        <v>1858</v>
      </c>
      <c r="N412" s="1889" t="s">
        <v>1355</v>
      </c>
      <c r="O412" s="844" t="s">
        <v>1858</v>
      </c>
      <c r="P412" s="1889" t="s">
        <v>1355</v>
      </c>
      <c r="Q412" s="844" t="s">
        <v>1858</v>
      </c>
      <c r="R412" s="1889" t="s">
        <v>1355</v>
      </c>
      <c r="S412" s="844" t="s">
        <v>1858</v>
      </c>
      <c r="T412" s="1889" t="s">
        <v>1355</v>
      </c>
      <c r="U412" s="844" t="s">
        <v>1858</v>
      </c>
      <c r="V412" s="1889" t="s">
        <v>1355</v>
      </c>
      <c r="W412" s="1940"/>
      <c r="X412" s="1935"/>
      <c r="Y412" s="1939"/>
    </row>
    <row r="413" spans="2:25" ht="114.75" x14ac:dyDescent="0.25">
      <c r="B413" s="2020" t="s">
        <v>1357</v>
      </c>
      <c r="C413" s="1524" t="s">
        <v>755</v>
      </c>
      <c r="D413" s="1524" t="s">
        <v>4018</v>
      </c>
      <c r="E413" s="1524" t="s">
        <v>4019</v>
      </c>
      <c r="F413" s="685" t="s">
        <v>1600</v>
      </c>
      <c r="G413" s="685" t="s">
        <v>3186</v>
      </c>
      <c r="H413" s="685" t="s">
        <v>1600</v>
      </c>
      <c r="I413" s="695" t="s">
        <v>19</v>
      </c>
      <c r="J413" s="836">
        <v>19.87</v>
      </c>
      <c r="K413" s="836">
        <v>20.25</v>
      </c>
      <c r="L413" s="861"/>
      <c r="M413" s="693">
        <v>20.78</v>
      </c>
      <c r="N413" s="861"/>
      <c r="O413" s="836">
        <v>21.57</v>
      </c>
      <c r="P413" s="861"/>
      <c r="Q413" s="693">
        <v>22.37</v>
      </c>
      <c r="R413" s="861"/>
      <c r="S413" s="836">
        <v>22.45</v>
      </c>
      <c r="T413" s="861"/>
      <c r="U413" s="693">
        <v>22.5</v>
      </c>
      <c r="V413" s="861"/>
      <c r="W413" s="835">
        <f>U413</f>
        <v>22.5</v>
      </c>
      <c r="X413" s="694"/>
      <c r="Y413" s="786" t="s">
        <v>1601</v>
      </c>
    </row>
    <row r="414" spans="2:25" ht="102" x14ac:dyDescent="0.25">
      <c r="B414" s="2020"/>
      <c r="C414" s="787"/>
      <c r="D414" s="787"/>
      <c r="E414" s="787"/>
      <c r="F414" s="779"/>
      <c r="G414" s="775" t="s">
        <v>1602</v>
      </c>
      <c r="H414" s="778" t="s">
        <v>1603</v>
      </c>
      <c r="I414" s="780" t="s">
        <v>19</v>
      </c>
      <c r="J414" s="781">
        <v>2</v>
      </c>
      <c r="K414" s="782">
        <v>5</v>
      </c>
      <c r="L414" s="783">
        <f>SUM(L415:L428)</f>
        <v>3009845</v>
      </c>
      <c r="M414" s="782">
        <v>10</v>
      </c>
      <c r="N414" s="783">
        <f>SUM(N415:N428)</f>
        <v>3880770</v>
      </c>
      <c r="O414" s="782">
        <v>10</v>
      </c>
      <c r="P414" s="783">
        <f>SUM(P415:P428)</f>
        <v>4734000</v>
      </c>
      <c r="Q414" s="782">
        <v>10</v>
      </c>
      <c r="R414" s="783">
        <f>SUM(R415:R428)</f>
        <v>4994000</v>
      </c>
      <c r="S414" s="782">
        <v>10</v>
      </c>
      <c r="T414" s="783">
        <f>SUM(T415:T428)</f>
        <v>5339000</v>
      </c>
      <c r="U414" s="782">
        <v>10</v>
      </c>
      <c r="V414" s="783">
        <f>SUM(V415:V428)</f>
        <v>5339000</v>
      </c>
      <c r="W414" s="784">
        <v>50</v>
      </c>
      <c r="X414" s="785" t="s">
        <v>1604</v>
      </c>
      <c r="Y414" s="786" t="s">
        <v>1601</v>
      </c>
    </row>
    <row r="415" spans="2:25" ht="63.75" x14ac:dyDescent="0.25">
      <c r="B415" s="2020"/>
      <c r="C415" s="787"/>
      <c r="D415" s="787"/>
      <c r="E415" s="787"/>
      <c r="F415" s="787"/>
      <c r="G415" s="788" t="s">
        <v>2280</v>
      </c>
      <c r="H415" s="789" t="s">
        <v>2281</v>
      </c>
      <c r="I415" s="790" t="s">
        <v>303</v>
      </c>
      <c r="J415" s="791">
        <v>2</v>
      </c>
      <c r="K415" s="792">
        <v>2</v>
      </c>
      <c r="L415" s="793">
        <v>185000</v>
      </c>
      <c r="M415" s="791">
        <v>2</v>
      </c>
      <c r="N415" s="793">
        <v>300000</v>
      </c>
      <c r="O415" s="791">
        <v>2</v>
      </c>
      <c r="P415" s="793">
        <v>215000</v>
      </c>
      <c r="Q415" s="791">
        <v>2</v>
      </c>
      <c r="R415" s="793">
        <v>225000</v>
      </c>
      <c r="S415" s="791">
        <v>2</v>
      </c>
      <c r="T415" s="793">
        <v>250000</v>
      </c>
      <c r="U415" s="791">
        <v>2</v>
      </c>
      <c r="V415" s="793">
        <v>250000</v>
      </c>
      <c r="W415" s="794">
        <v>10</v>
      </c>
      <c r="X415" s="785" t="s">
        <v>2282</v>
      </c>
      <c r="Y415" s="786" t="s">
        <v>1601</v>
      </c>
    </row>
    <row r="416" spans="2:25" ht="25.5" x14ac:dyDescent="0.25">
      <c r="B416" s="2020"/>
      <c r="C416" s="787"/>
      <c r="D416" s="787"/>
      <c r="E416" s="787"/>
      <c r="F416" s="795"/>
      <c r="G416" s="788"/>
      <c r="H416" s="789" t="s">
        <v>2283</v>
      </c>
      <c r="I416" s="790" t="s">
        <v>251</v>
      </c>
      <c r="J416" s="791">
        <v>5</v>
      </c>
      <c r="K416" s="792">
        <v>5</v>
      </c>
      <c r="L416" s="793"/>
      <c r="M416" s="791">
        <v>5</v>
      </c>
      <c r="N416" s="793"/>
      <c r="O416" s="791">
        <v>5</v>
      </c>
      <c r="P416" s="793"/>
      <c r="Q416" s="791">
        <v>5</v>
      </c>
      <c r="R416" s="793"/>
      <c r="S416" s="791">
        <v>5</v>
      </c>
      <c r="T416" s="793"/>
      <c r="U416" s="791">
        <v>5</v>
      </c>
      <c r="V416" s="793"/>
      <c r="W416" s="794">
        <v>30</v>
      </c>
      <c r="X416" s="785"/>
      <c r="Y416" s="786" t="s">
        <v>1601</v>
      </c>
    </row>
    <row r="417" spans="2:25" ht="76.5" x14ac:dyDescent="0.25">
      <c r="B417" s="2020"/>
      <c r="C417" s="787"/>
      <c r="D417" s="787"/>
      <c r="E417" s="787"/>
      <c r="F417" s="795"/>
      <c r="G417" s="789" t="s">
        <v>2284</v>
      </c>
      <c r="H417" s="788" t="s">
        <v>2285</v>
      </c>
      <c r="I417" s="790" t="s">
        <v>257</v>
      </c>
      <c r="J417" s="791">
        <v>3</v>
      </c>
      <c r="K417" s="791">
        <v>3</v>
      </c>
      <c r="L417" s="793">
        <v>102000</v>
      </c>
      <c r="M417" s="791">
        <v>3</v>
      </c>
      <c r="N417" s="793">
        <v>102000</v>
      </c>
      <c r="O417" s="791">
        <v>3</v>
      </c>
      <c r="P417" s="793">
        <v>125000</v>
      </c>
      <c r="Q417" s="791">
        <v>3</v>
      </c>
      <c r="R417" s="793">
        <v>125000</v>
      </c>
      <c r="S417" s="791">
        <v>3</v>
      </c>
      <c r="T417" s="793">
        <v>125000</v>
      </c>
      <c r="U417" s="791">
        <v>3</v>
      </c>
      <c r="V417" s="793">
        <v>125000</v>
      </c>
      <c r="W417" s="794">
        <v>15</v>
      </c>
      <c r="X417" s="785" t="s">
        <v>1722</v>
      </c>
      <c r="Y417" s="786" t="s">
        <v>1601</v>
      </c>
    </row>
    <row r="418" spans="2:25" ht="102" x14ac:dyDescent="0.25">
      <c r="B418" s="2020"/>
      <c r="C418" s="787"/>
      <c r="D418" s="787"/>
      <c r="E418" s="787"/>
      <c r="F418" s="795"/>
      <c r="G418" s="789" t="s">
        <v>2286</v>
      </c>
      <c r="H418" s="789" t="s">
        <v>2287</v>
      </c>
      <c r="I418" s="790" t="s">
        <v>282</v>
      </c>
      <c r="J418" s="796">
        <v>20</v>
      </c>
      <c r="K418" s="796">
        <v>10</v>
      </c>
      <c r="L418" s="797">
        <v>70000</v>
      </c>
      <c r="M418" s="796">
        <v>15</v>
      </c>
      <c r="N418" s="797">
        <v>70000</v>
      </c>
      <c r="O418" s="796">
        <v>20</v>
      </c>
      <c r="P418" s="793">
        <v>105000</v>
      </c>
      <c r="Q418" s="796">
        <v>20</v>
      </c>
      <c r="R418" s="793">
        <v>110000</v>
      </c>
      <c r="S418" s="796">
        <v>20</v>
      </c>
      <c r="T418" s="793">
        <v>120000</v>
      </c>
      <c r="U418" s="796">
        <v>20</v>
      </c>
      <c r="V418" s="793">
        <v>120000</v>
      </c>
      <c r="W418" s="794">
        <v>95</v>
      </c>
      <c r="X418" s="785" t="s">
        <v>1722</v>
      </c>
      <c r="Y418" s="786" t="s">
        <v>1601</v>
      </c>
    </row>
    <row r="419" spans="2:25" ht="63.75" x14ac:dyDescent="0.25">
      <c r="B419" s="2020"/>
      <c r="C419" s="787"/>
      <c r="D419" s="787"/>
      <c r="E419" s="787"/>
      <c r="F419" s="795"/>
      <c r="G419" s="789" t="s">
        <v>2288</v>
      </c>
      <c r="H419" s="789" t="s">
        <v>2289</v>
      </c>
      <c r="I419" s="790" t="s">
        <v>79</v>
      </c>
      <c r="J419" s="791">
        <v>0</v>
      </c>
      <c r="K419" s="791">
        <v>3</v>
      </c>
      <c r="L419" s="793">
        <v>10000</v>
      </c>
      <c r="M419" s="791">
        <v>3</v>
      </c>
      <c r="N419" s="793">
        <v>20000</v>
      </c>
      <c r="O419" s="791">
        <v>3</v>
      </c>
      <c r="P419" s="793">
        <v>60000</v>
      </c>
      <c r="Q419" s="791">
        <v>3</v>
      </c>
      <c r="R419" s="793">
        <v>70000</v>
      </c>
      <c r="S419" s="791">
        <v>3</v>
      </c>
      <c r="T419" s="793">
        <v>80000</v>
      </c>
      <c r="U419" s="791">
        <v>3</v>
      </c>
      <c r="V419" s="793">
        <v>80000</v>
      </c>
      <c r="W419" s="794">
        <v>15</v>
      </c>
      <c r="X419" s="785" t="s">
        <v>1722</v>
      </c>
      <c r="Y419" s="786" t="s">
        <v>1601</v>
      </c>
    </row>
    <row r="420" spans="2:25" ht="63.75" x14ac:dyDescent="0.25">
      <c r="B420" s="2020"/>
      <c r="C420" s="787"/>
      <c r="D420" s="787"/>
      <c r="E420" s="787"/>
      <c r="F420" s="795"/>
      <c r="G420" s="789" t="s">
        <v>2290</v>
      </c>
      <c r="H420" s="789" t="s">
        <v>2291</v>
      </c>
      <c r="I420" s="790" t="s">
        <v>257</v>
      </c>
      <c r="J420" s="798"/>
      <c r="K420" s="791">
        <v>1</v>
      </c>
      <c r="L420" s="793">
        <v>20000</v>
      </c>
      <c r="M420" s="791">
        <v>1</v>
      </c>
      <c r="N420" s="793">
        <v>250000</v>
      </c>
      <c r="O420" s="791">
        <v>1</v>
      </c>
      <c r="P420" s="793">
        <v>50000</v>
      </c>
      <c r="Q420" s="791">
        <v>1</v>
      </c>
      <c r="R420" s="793">
        <v>60000</v>
      </c>
      <c r="S420" s="791">
        <v>1</v>
      </c>
      <c r="T420" s="793">
        <v>60000</v>
      </c>
      <c r="U420" s="791">
        <v>1</v>
      </c>
      <c r="V420" s="793">
        <v>60000</v>
      </c>
      <c r="W420" s="794">
        <v>5</v>
      </c>
      <c r="X420" s="785" t="s">
        <v>1722</v>
      </c>
      <c r="Y420" s="786" t="s">
        <v>1601</v>
      </c>
    </row>
    <row r="421" spans="2:25" ht="51" x14ac:dyDescent="0.25">
      <c r="B421" s="2020"/>
      <c r="C421" s="787"/>
      <c r="D421" s="787"/>
      <c r="E421" s="787"/>
      <c r="F421" s="795"/>
      <c r="G421" s="789" t="s">
        <v>2292</v>
      </c>
      <c r="H421" s="789" t="s">
        <v>2293</v>
      </c>
      <c r="I421" s="790" t="s">
        <v>257</v>
      </c>
      <c r="J421" s="791">
        <v>0</v>
      </c>
      <c r="K421" s="791">
        <v>10</v>
      </c>
      <c r="L421" s="793">
        <v>10000</v>
      </c>
      <c r="M421" s="791">
        <v>30</v>
      </c>
      <c r="N421" s="793">
        <v>185925</v>
      </c>
      <c r="O421" s="791">
        <v>30</v>
      </c>
      <c r="P421" s="793">
        <v>150000</v>
      </c>
      <c r="Q421" s="791">
        <v>30</v>
      </c>
      <c r="R421" s="793">
        <v>150000</v>
      </c>
      <c r="S421" s="791">
        <v>30</v>
      </c>
      <c r="T421" s="793">
        <v>150000</v>
      </c>
      <c r="U421" s="791">
        <v>30</v>
      </c>
      <c r="V421" s="793">
        <v>150000</v>
      </c>
      <c r="W421" s="794">
        <v>150</v>
      </c>
      <c r="X421" s="785" t="s">
        <v>1722</v>
      </c>
      <c r="Y421" s="786" t="s">
        <v>1601</v>
      </c>
    </row>
    <row r="422" spans="2:25" ht="63.75" x14ac:dyDescent="0.25">
      <c r="B422" s="2020"/>
      <c r="C422" s="787"/>
      <c r="D422" s="787"/>
      <c r="E422" s="787"/>
      <c r="F422" s="795"/>
      <c r="G422" s="788" t="s">
        <v>2294</v>
      </c>
      <c r="H422" s="789" t="s">
        <v>2295</v>
      </c>
      <c r="I422" s="790" t="s">
        <v>103</v>
      </c>
      <c r="J422" s="791"/>
      <c r="K422" s="791">
        <v>4</v>
      </c>
      <c r="L422" s="793">
        <v>120000</v>
      </c>
      <c r="M422" s="791">
        <v>4</v>
      </c>
      <c r="N422" s="793">
        <v>120000</v>
      </c>
      <c r="O422" s="791">
        <v>4</v>
      </c>
      <c r="P422" s="793">
        <v>150000</v>
      </c>
      <c r="Q422" s="791">
        <v>4</v>
      </c>
      <c r="R422" s="793">
        <v>150000</v>
      </c>
      <c r="S422" s="791">
        <v>4</v>
      </c>
      <c r="T422" s="793">
        <v>150000</v>
      </c>
      <c r="U422" s="791">
        <v>4</v>
      </c>
      <c r="V422" s="793">
        <v>150000</v>
      </c>
      <c r="W422" s="794">
        <v>20</v>
      </c>
      <c r="X422" s="785" t="s">
        <v>2296</v>
      </c>
      <c r="Y422" s="786" t="s">
        <v>1601</v>
      </c>
    </row>
    <row r="423" spans="2:25" ht="51" x14ac:dyDescent="0.25">
      <c r="B423" s="2020"/>
      <c r="C423" s="787"/>
      <c r="D423" s="787"/>
      <c r="E423" s="787"/>
      <c r="F423" s="795"/>
      <c r="G423" s="788" t="s">
        <v>107</v>
      </c>
      <c r="H423" s="789" t="s">
        <v>2297</v>
      </c>
      <c r="I423" s="790" t="s">
        <v>1158</v>
      </c>
      <c r="J423" s="799"/>
      <c r="K423" s="791">
        <v>12</v>
      </c>
      <c r="L423" s="793">
        <v>14000</v>
      </c>
      <c r="M423" s="791">
        <v>12</v>
      </c>
      <c r="N423" s="793">
        <v>14000</v>
      </c>
      <c r="O423" s="791">
        <v>12</v>
      </c>
      <c r="P423" s="793">
        <v>14000</v>
      </c>
      <c r="Q423" s="791">
        <v>12</v>
      </c>
      <c r="R423" s="793">
        <v>14000</v>
      </c>
      <c r="S423" s="791">
        <v>12</v>
      </c>
      <c r="T423" s="793">
        <v>14000</v>
      </c>
      <c r="U423" s="791">
        <v>12</v>
      </c>
      <c r="V423" s="793">
        <v>14000</v>
      </c>
      <c r="W423" s="794">
        <v>60</v>
      </c>
      <c r="X423" s="785" t="s">
        <v>2298</v>
      </c>
      <c r="Y423" s="786" t="s">
        <v>1601</v>
      </c>
    </row>
    <row r="424" spans="2:25" ht="76.5" x14ac:dyDescent="0.25">
      <c r="B424" s="2020"/>
      <c r="C424" s="787"/>
      <c r="D424" s="787"/>
      <c r="E424" s="787"/>
      <c r="F424" s="795"/>
      <c r="G424" s="789" t="s">
        <v>2299</v>
      </c>
      <c r="H424" s="789" t="s">
        <v>2300</v>
      </c>
      <c r="I424" s="790" t="s">
        <v>265</v>
      </c>
      <c r="J424" s="791">
        <v>5</v>
      </c>
      <c r="K424" s="791">
        <v>1</v>
      </c>
      <c r="L424" s="793">
        <v>75000</v>
      </c>
      <c r="M424" s="791">
        <v>1</v>
      </c>
      <c r="N424" s="793">
        <v>75000</v>
      </c>
      <c r="O424" s="791">
        <v>1</v>
      </c>
      <c r="P424" s="793">
        <v>125000</v>
      </c>
      <c r="Q424" s="791">
        <v>1</v>
      </c>
      <c r="R424" s="793">
        <v>150000</v>
      </c>
      <c r="S424" s="791">
        <v>1</v>
      </c>
      <c r="T424" s="793">
        <v>150000</v>
      </c>
      <c r="U424" s="791">
        <v>1</v>
      </c>
      <c r="V424" s="793">
        <v>150000</v>
      </c>
      <c r="W424" s="794">
        <v>5</v>
      </c>
      <c r="X424" s="785" t="s">
        <v>2301</v>
      </c>
      <c r="Y424" s="786" t="s">
        <v>1601</v>
      </c>
    </row>
    <row r="425" spans="2:25" ht="369.75" x14ac:dyDescent="0.25">
      <c r="B425" s="2020"/>
      <c r="C425" s="787"/>
      <c r="D425" s="787"/>
      <c r="E425" s="787"/>
      <c r="F425" s="795"/>
      <c r="G425" s="788" t="s">
        <v>2302</v>
      </c>
      <c r="H425" s="789" t="s">
        <v>2303</v>
      </c>
      <c r="I425" s="790" t="s">
        <v>324</v>
      </c>
      <c r="J425" s="792"/>
      <c r="K425" s="800">
        <v>1</v>
      </c>
      <c r="L425" s="801">
        <v>2403845</v>
      </c>
      <c r="M425" s="792">
        <v>1</v>
      </c>
      <c r="N425" s="801">
        <v>2603845</v>
      </c>
      <c r="O425" s="792">
        <v>1</v>
      </c>
      <c r="P425" s="801">
        <v>2800000</v>
      </c>
      <c r="Q425" s="792">
        <v>1</v>
      </c>
      <c r="R425" s="801">
        <v>3000000</v>
      </c>
      <c r="S425" s="792">
        <v>1</v>
      </c>
      <c r="T425" s="801">
        <v>3300000</v>
      </c>
      <c r="U425" s="792">
        <v>1</v>
      </c>
      <c r="V425" s="801">
        <v>3300000</v>
      </c>
      <c r="W425" s="794">
        <v>5</v>
      </c>
      <c r="X425" s="785" t="s">
        <v>1722</v>
      </c>
      <c r="Y425" s="786" t="s">
        <v>1601</v>
      </c>
    </row>
    <row r="426" spans="2:25" ht="76.5" x14ac:dyDescent="0.25">
      <c r="B426" s="2020"/>
      <c r="C426" s="787"/>
      <c r="D426" s="787"/>
      <c r="E426" s="787"/>
      <c r="F426" s="802"/>
      <c r="G426" s="775" t="s">
        <v>1605</v>
      </c>
      <c r="H426" s="775" t="s">
        <v>1606</v>
      </c>
      <c r="I426" s="780" t="s">
        <v>19</v>
      </c>
      <c r="J426" s="803"/>
      <c r="K426" s="804"/>
      <c r="L426" s="805">
        <f>SUM(L427:L428)</f>
        <v>0</v>
      </c>
      <c r="M426" s="804"/>
      <c r="N426" s="805">
        <f>SUM(N427:N428)</f>
        <v>70000</v>
      </c>
      <c r="O426" s="804"/>
      <c r="P426" s="805">
        <f>SUM(P427:P428)</f>
        <v>470000</v>
      </c>
      <c r="Q426" s="804"/>
      <c r="R426" s="805">
        <f>SUM(R427:R428)</f>
        <v>470000</v>
      </c>
      <c r="S426" s="804"/>
      <c r="T426" s="805">
        <f>SUM(T427:T428)</f>
        <v>470000</v>
      </c>
      <c r="U426" s="804"/>
      <c r="V426" s="805">
        <f>SUM(V427:V428)</f>
        <v>470000</v>
      </c>
      <c r="W426" s="784"/>
      <c r="X426" s="785" t="s">
        <v>1607</v>
      </c>
      <c r="Y426" s="786" t="s">
        <v>1601</v>
      </c>
    </row>
    <row r="427" spans="2:25" ht="76.5" x14ac:dyDescent="0.25">
      <c r="B427" s="2020"/>
      <c r="C427" s="787"/>
      <c r="D427" s="787"/>
      <c r="E427" s="787"/>
      <c r="F427" s="795"/>
      <c r="G427" s="788" t="s">
        <v>2304</v>
      </c>
      <c r="H427" s="789" t="s">
        <v>2305</v>
      </c>
      <c r="I427" s="790" t="s">
        <v>324</v>
      </c>
      <c r="J427" s="796">
        <v>20</v>
      </c>
      <c r="K427" s="806" t="s">
        <v>313</v>
      </c>
      <c r="L427" s="807">
        <v>0</v>
      </c>
      <c r="M427" s="806">
        <v>0</v>
      </c>
      <c r="N427" s="807"/>
      <c r="O427" s="806">
        <v>2</v>
      </c>
      <c r="P427" s="807">
        <v>400000</v>
      </c>
      <c r="Q427" s="806">
        <v>2</v>
      </c>
      <c r="R427" s="807">
        <v>400000</v>
      </c>
      <c r="S427" s="806">
        <v>2</v>
      </c>
      <c r="T427" s="807">
        <v>400000</v>
      </c>
      <c r="U427" s="806">
        <v>2</v>
      </c>
      <c r="V427" s="807">
        <v>400000</v>
      </c>
      <c r="W427" s="794">
        <v>1</v>
      </c>
      <c r="X427" s="785" t="s">
        <v>1607</v>
      </c>
      <c r="Y427" s="786" t="s">
        <v>1601</v>
      </c>
    </row>
    <row r="428" spans="2:25" ht="38.25" x14ac:dyDescent="0.25">
      <c r="B428" s="2020"/>
      <c r="C428" s="787"/>
      <c r="D428" s="787"/>
      <c r="E428" s="787"/>
      <c r="F428" s="795"/>
      <c r="G428" s="788" t="s">
        <v>2306</v>
      </c>
      <c r="H428" s="789" t="s">
        <v>2307</v>
      </c>
      <c r="I428" s="790" t="s">
        <v>103</v>
      </c>
      <c r="J428" s="796"/>
      <c r="K428" s="806" t="s">
        <v>313</v>
      </c>
      <c r="L428" s="793">
        <v>0</v>
      </c>
      <c r="M428" s="796">
        <v>3</v>
      </c>
      <c r="N428" s="807">
        <v>70000</v>
      </c>
      <c r="O428" s="796">
        <v>7</v>
      </c>
      <c r="P428" s="793">
        <v>70000</v>
      </c>
      <c r="Q428" s="796">
        <v>7</v>
      </c>
      <c r="R428" s="793">
        <v>70000</v>
      </c>
      <c r="S428" s="796">
        <v>7</v>
      </c>
      <c r="T428" s="808">
        <v>70000</v>
      </c>
      <c r="U428" s="796">
        <v>7</v>
      </c>
      <c r="V428" s="808">
        <v>70000</v>
      </c>
      <c r="W428" s="794">
        <v>31</v>
      </c>
      <c r="X428" s="785"/>
      <c r="Y428" s="786" t="s">
        <v>1601</v>
      </c>
    </row>
    <row r="429" spans="2:25" ht="60" x14ac:dyDescent="0.25">
      <c r="B429" s="2020"/>
      <c r="C429" s="787"/>
      <c r="D429" s="787"/>
      <c r="E429" s="787"/>
      <c r="F429" s="779"/>
      <c r="G429" s="809" t="s">
        <v>1608</v>
      </c>
      <c r="H429" s="775" t="s">
        <v>1609</v>
      </c>
      <c r="I429" s="780" t="s">
        <v>19</v>
      </c>
      <c r="J429" s="803">
        <v>5</v>
      </c>
      <c r="K429" s="810">
        <v>3</v>
      </c>
      <c r="L429" s="805">
        <f>SUM(L430)</f>
        <v>112500</v>
      </c>
      <c r="M429" s="810">
        <v>4</v>
      </c>
      <c r="N429" s="805">
        <f>SUM(N430)</f>
        <v>156000</v>
      </c>
      <c r="O429" s="810">
        <v>14</v>
      </c>
      <c r="P429" s="805">
        <f>SUM(P430)</f>
        <v>500000</v>
      </c>
      <c r="Q429" s="810">
        <v>20</v>
      </c>
      <c r="R429" s="805">
        <f>SUM(R430)</f>
        <v>500000</v>
      </c>
      <c r="S429" s="810">
        <v>27</v>
      </c>
      <c r="T429" s="805">
        <f>SUM(T430)</f>
        <v>500000</v>
      </c>
      <c r="U429" s="810">
        <v>35</v>
      </c>
      <c r="V429" s="805">
        <f>SUM(V430)</f>
        <v>500000</v>
      </c>
      <c r="W429" s="794">
        <v>100</v>
      </c>
      <c r="X429" s="777"/>
      <c r="Y429" s="786" t="s">
        <v>1601</v>
      </c>
    </row>
    <row r="430" spans="2:25" ht="89.25" x14ac:dyDescent="0.25">
      <c r="B430" s="2020"/>
      <c r="C430" s="787"/>
      <c r="D430" s="787"/>
      <c r="E430" s="787"/>
      <c r="F430" s="795"/>
      <c r="G430" s="789" t="s">
        <v>2308</v>
      </c>
      <c r="H430" s="789" t="s">
        <v>2309</v>
      </c>
      <c r="I430" s="790" t="s">
        <v>8</v>
      </c>
      <c r="J430" s="791">
        <v>5</v>
      </c>
      <c r="K430" s="791">
        <v>1</v>
      </c>
      <c r="L430" s="793">
        <v>112500</v>
      </c>
      <c r="M430" s="791">
        <v>1</v>
      </c>
      <c r="N430" s="793">
        <v>156000</v>
      </c>
      <c r="O430" s="791">
        <v>4</v>
      </c>
      <c r="P430" s="793">
        <v>500000</v>
      </c>
      <c r="Q430" s="791">
        <v>6</v>
      </c>
      <c r="R430" s="793">
        <v>500000</v>
      </c>
      <c r="S430" s="791">
        <v>8</v>
      </c>
      <c r="T430" s="793">
        <v>500000</v>
      </c>
      <c r="U430" s="791">
        <v>10</v>
      </c>
      <c r="V430" s="793">
        <v>500000</v>
      </c>
      <c r="W430" s="794">
        <v>29</v>
      </c>
      <c r="X430" s="785"/>
      <c r="Y430" s="786" t="s">
        <v>1601</v>
      </c>
    </row>
    <row r="431" spans="2:25" ht="48" x14ac:dyDescent="0.25">
      <c r="B431" s="2020"/>
      <c r="C431" s="787"/>
      <c r="D431" s="787"/>
      <c r="E431" s="787"/>
      <c r="F431" s="1805"/>
      <c r="G431" s="812" t="s">
        <v>1610</v>
      </c>
      <c r="H431" s="775" t="s">
        <v>1611</v>
      </c>
      <c r="I431" s="780" t="s">
        <v>79</v>
      </c>
      <c r="J431" s="810"/>
      <c r="K431" s="810">
        <v>1</v>
      </c>
      <c r="L431" s="805">
        <f>SUM(L432)</f>
        <v>40000</v>
      </c>
      <c r="M431" s="810">
        <v>1</v>
      </c>
      <c r="N431" s="805">
        <f>SUM(N432)</f>
        <v>200000</v>
      </c>
      <c r="O431" s="810">
        <v>1</v>
      </c>
      <c r="P431" s="805">
        <f>SUM(P432)</f>
        <v>100000</v>
      </c>
      <c r="Q431" s="810">
        <v>1</v>
      </c>
      <c r="R431" s="805">
        <f>SUM(R432)</f>
        <v>100000</v>
      </c>
      <c r="S431" s="810">
        <v>1</v>
      </c>
      <c r="T431" s="805">
        <f>SUM(T432)</f>
        <v>100000</v>
      </c>
      <c r="U431" s="810">
        <v>1</v>
      </c>
      <c r="V431" s="805">
        <f>SUM(V432)</f>
        <v>100000</v>
      </c>
      <c r="W431" s="794">
        <v>5</v>
      </c>
      <c r="X431" s="777"/>
      <c r="Y431" s="786" t="s">
        <v>1601</v>
      </c>
    </row>
    <row r="432" spans="2:25" ht="51" x14ac:dyDescent="0.25">
      <c r="B432" s="2020"/>
      <c r="C432" s="787"/>
      <c r="D432" s="787"/>
      <c r="E432" s="787"/>
      <c r="F432" s="795"/>
      <c r="G432" s="813" t="s">
        <v>2310</v>
      </c>
      <c r="H432" s="789" t="s">
        <v>2311</v>
      </c>
      <c r="I432" s="790" t="s">
        <v>257</v>
      </c>
      <c r="J432" s="791"/>
      <c r="K432" s="791">
        <v>1</v>
      </c>
      <c r="L432" s="793">
        <v>40000</v>
      </c>
      <c r="M432" s="791">
        <v>1</v>
      </c>
      <c r="N432" s="793">
        <v>200000</v>
      </c>
      <c r="O432" s="791">
        <v>1</v>
      </c>
      <c r="P432" s="793">
        <v>100000</v>
      </c>
      <c r="Q432" s="791">
        <v>1</v>
      </c>
      <c r="R432" s="793">
        <v>100000</v>
      </c>
      <c r="S432" s="791">
        <v>1</v>
      </c>
      <c r="T432" s="793">
        <v>100000</v>
      </c>
      <c r="U432" s="791">
        <v>1</v>
      </c>
      <c r="V432" s="793">
        <v>100000</v>
      </c>
      <c r="W432" s="794">
        <v>5</v>
      </c>
      <c r="X432" s="785"/>
      <c r="Y432" s="786" t="s">
        <v>1601</v>
      </c>
    </row>
    <row r="433" spans="2:25" ht="72" x14ac:dyDescent="0.25">
      <c r="B433" s="2020"/>
      <c r="C433" s="787"/>
      <c r="D433" s="787"/>
      <c r="E433" s="787"/>
      <c r="F433" s="779"/>
      <c r="G433" s="775" t="s">
        <v>1612</v>
      </c>
      <c r="H433" s="775" t="s">
        <v>1613</v>
      </c>
      <c r="I433" s="780" t="s">
        <v>830</v>
      </c>
      <c r="J433" s="810">
        <v>3</v>
      </c>
      <c r="K433" s="810">
        <v>3</v>
      </c>
      <c r="L433" s="805">
        <f>SUM(L434:L436)</f>
        <v>250000</v>
      </c>
      <c r="M433" s="810">
        <v>3</v>
      </c>
      <c r="N433" s="805">
        <f>SUM(N434:N436)</f>
        <v>265000</v>
      </c>
      <c r="O433" s="810">
        <v>3</v>
      </c>
      <c r="P433" s="805">
        <f>SUM(P434:P436)</f>
        <v>300000</v>
      </c>
      <c r="Q433" s="810">
        <v>3</v>
      </c>
      <c r="R433" s="805">
        <f>SUM(R434:R436)</f>
        <v>310000</v>
      </c>
      <c r="S433" s="810">
        <v>3</v>
      </c>
      <c r="T433" s="805">
        <f>SUM(T434:T436)</f>
        <v>310000</v>
      </c>
      <c r="U433" s="810">
        <v>3</v>
      </c>
      <c r="V433" s="805">
        <f>SUM(V434:V436)</f>
        <v>310000</v>
      </c>
      <c r="W433" s="794">
        <v>15</v>
      </c>
      <c r="X433" s="777"/>
      <c r="Y433" s="786" t="s">
        <v>1601</v>
      </c>
    </row>
    <row r="434" spans="2:25" ht="127.5" x14ac:dyDescent="0.25">
      <c r="B434" s="2020"/>
      <c r="C434" s="787"/>
      <c r="D434" s="787"/>
      <c r="E434" s="787"/>
      <c r="F434" s="795"/>
      <c r="G434" s="789" t="s">
        <v>2312</v>
      </c>
      <c r="H434" s="808" t="s">
        <v>2313</v>
      </c>
      <c r="I434" s="814" t="s">
        <v>1063</v>
      </c>
      <c r="J434" s="796">
        <v>15</v>
      </c>
      <c r="K434" s="796">
        <v>12</v>
      </c>
      <c r="L434" s="793">
        <v>45000</v>
      </c>
      <c r="M434" s="796">
        <v>12</v>
      </c>
      <c r="N434" s="793">
        <v>60000</v>
      </c>
      <c r="O434" s="796">
        <v>12</v>
      </c>
      <c r="P434" s="793">
        <v>60000</v>
      </c>
      <c r="Q434" s="796">
        <v>12</v>
      </c>
      <c r="R434" s="793">
        <v>70000</v>
      </c>
      <c r="S434" s="796">
        <v>12</v>
      </c>
      <c r="T434" s="793">
        <v>70000</v>
      </c>
      <c r="U434" s="796">
        <v>5</v>
      </c>
      <c r="V434" s="793">
        <v>70000</v>
      </c>
      <c r="W434" s="794">
        <v>53</v>
      </c>
      <c r="X434" s="785"/>
      <c r="Y434" s="786" t="s">
        <v>1601</v>
      </c>
    </row>
    <row r="435" spans="2:25" ht="102" x14ac:dyDescent="0.25">
      <c r="B435" s="2020"/>
      <c r="C435" s="787"/>
      <c r="D435" s="787"/>
      <c r="E435" s="787"/>
      <c r="F435" s="795"/>
      <c r="G435" s="789" t="s">
        <v>2314</v>
      </c>
      <c r="H435" s="789" t="s">
        <v>2315</v>
      </c>
      <c r="I435" s="790" t="s">
        <v>381</v>
      </c>
      <c r="J435" s="791">
        <v>5</v>
      </c>
      <c r="K435" s="791">
        <v>1</v>
      </c>
      <c r="L435" s="793">
        <v>30000</v>
      </c>
      <c r="M435" s="791">
        <v>1</v>
      </c>
      <c r="N435" s="793">
        <v>30000</v>
      </c>
      <c r="O435" s="791">
        <v>1</v>
      </c>
      <c r="P435" s="793">
        <v>40000</v>
      </c>
      <c r="Q435" s="791">
        <v>1</v>
      </c>
      <c r="R435" s="793">
        <v>40000</v>
      </c>
      <c r="S435" s="791">
        <v>1</v>
      </c>
      <c r="T435" s="793">
        <v>40000</v>
      </c>
      <c r="U435" s="791">
        <v>1</v>
      </c>
      <c r="V435" s="793">
        <v>40000</v>
      </c>
      <c r="W435" s="794">
        <v>5</v>
      </c>
      <c r="X435" s="785"/>
      <c r="Y435" s="786" t="s">
        <v>1601</v>
      </c>
    </row>
    <row r="436" spans="2:25" ht="102" x14ac:dyDescent="0.25">
      <c r="B436" s="2020"/>
      <c r="C436" s="787"/>
      <c r="D436" s="787"/>
      <c r="E436" s="787"/>
      <c r="F436" s="795"/>
      <c r="G436" s="789" t="s">
        <v>2316</v>
      </c>
      <c r="H436" s="789" t="s">
        <v>2317</v>
      </c>
      <c r="I436" s="790" t="s">
        <v>1158</v>
      </c>
      <c r="J436" s="791">
        <v>3</v>
      </c>
      <c r="K436" s="791">
        <v>12</v>
      </c>
      <c r="L436" s="793">
        <v>175000</v>
      </c>
      <c r="M436" s="791">
        <v>12</v>
      </c>
      <c r="N436" s="793">
        <v>175000</v>
      </c>
      <c r="O436" s="791">
        <v>12</v>
      </c>
      <c r="P436" s="793">
        <v>200000</v>
      </c>
      <c r="Q436" s="791">
        <v>12</v>
      </c>
      <c r="R436" s="793">
        <v>200000</v>
      </c>
      <c r="S436" s="791">
        <v>12</v>
      </c>
      <c r="T436" s="793">
        <v>200000</v>
      </c>
      <c r="U436" s="791">
        <v>12</v>
      </c>
      <c r="V436" s="793">
        <v>200000</v>
      </c>
      <c r="W436" s="794">
        <v>60</v>
      </c>
      <c r="X436" s="785"/>
      <c r="Y436" s="786" t="s">
        <v>1601</v>
      </c>
    </row>
    <row r="437" spans="2:25" ht="72" x14ac:dyDescent="0.25">
      <c r="B437" s="2020"/>
      <c r="C437" s="787"/>
      <c r="D437" s="787"/>
      <c r="E437" s="787"/>
      <c r="F437" s="779"/>
      <c r="G437" s="775" t="s">
        <v>1614</v>
      </c>
      <c r="H437" s="775" t="s">
        <v>1615</v>
      </c>
      <c r="I437" s="780" t="s">
        <v>19</v>
      </c>
      <c r="J437" s="803">
        <v>6.5</v>
      </c>
      <c r="K437" s="804">
        <v>9</v>
      </c>
      <c r="L437" s="783">
        <f>SUM(L438)</f>
        <v>115000</v>
      </c>
      <c r="M437" s="804">
        <v>11</v>
      </c>
      <c r="N437" s="783">
        <f>SUM(N438)</f>
        <v>100000</v>
      </c>
      <c r="O437" s="804">
        <v>13</v>
      </c>
      <c r="P437" s="783">
        <f>SUM(P438)</f>
        <v>175000</v>
      </c>
      <c r="Q437" s="804">
        <v>15</v>
      </c>
      <c r="R437" s="783">
        <f>SUM(R438)</f>
        <v>200000</v>
      </c>
      <c r="S437" s="804">
        <v>17</v>
      </c>
      <c r="T437" s="783">
        <f>SUM(T438)</f>
        <v>230000</v>
      </c>
      <c r="U437" s="804">
        <v>20</v>
      </c>
      <c r="V437" s="783">
        <f>SUM(V438)</f>
        <v>200000</v>
      </c>
      <c r="W437" s="794">
        <v>76</v>
      </c>
      <c r="X437" s="777"/>
      <c r="Y437" s="786" t="s">
        <v>1601</v>
      </c>
    </row>
    <row r="438" spans="2:25" ht="51" x14ac:dyDescent="0.25">
      <c r="B438" s="2020"/>
      <c r="C438" s="823"/>
      <c r="D438" s="823"/>
      <c r="E438" s="823"/>
      <c r="F438" s="811"/>
      <c r="G438" s="789" t="s">
        <v>2318</v>
      </c>
      <c r="H438" s="789" t="s">
        <v>2319</v>
      </c>
      <c r="I438" s="790" t="s">
        <v>97</v>
      </c>
      <c r="J438" s="796">
        <v>30</v>
      </c>
      <c r="K438" s="792">
        <v>7</v>
      </c>
      <c r="L438" s="793">
        <v>115000</v>
      </c>
      <c r="M438" s="796">
        <v>40</v>
      </c>
      <c r="N438" s="793">
        <v>100000</v>
      </c>
      <c r="O438" s="796">
        <v>50</v>
      </c>
      <c r="P438" s="793">
        <v>175000</v>
      </c>
      <c r="Q438" s="796">
        <v>60</v>
      </c>
      <c r="R438" s="793">
        <v>200000</v>
      </c>
      <c r="S438" s="796">
        <v>70</v>
      </c>
      <c r="T438" s="808">
        <v>230000</v>
      </c>
      <c r="U438" s="796">
        <v>80</v>
      </c>
      <c r="V438" s="808">
        <v>200000</v>
      </c>
      <c r="W438" s="794">
        <v>300</v>
      </c>
      <c r="X438" s="785"/>
      <c r="Y438" s="786" t="s">
        <v>1601</v>
      </c>
    </row>
    <row r="439" spans="2:25" x14ac:dyDescent="0.25">
      <c r="B439" s="980"/>
      <c r="C439" s="981"/>
      <c r="D439" s="981"/>
      <c r="E439" s="981"/>
      <c r="F439" s="795"/>
      <c r="G439" s="789"/>
      <c r="H439" s="789"/>
      <c r="I439" s="790"/>
      <c r="J439" s="796"/>
      <c r="K439" s="792"/>
      <c r="L439" s="793"/>
      <c r="M439" s="796"/>
      <c r="N439" s="793"/>
      <c r="O439" s="796"/>
      <c r="P439" s="793"/>
      <c r="Q439" s="796"/>
      <c r="R439" s="793"/>
      <c r="S439" s="796"/>
      <c r="T439" s="808"/>
      <c r="U439" s="796"/>
      <c r="V439" s="808"/>
      <c r="W439" s="794"/>
      <c r="X439" s="785"/>
      <c r="Y439" s="786" t="s">
        <v>1601</v>
      </c>
    </row>
    <row r="440" spans="2:25" ht="60" customHeight="1" x14ac:dyDescent="0.25">
      <c r="B440" s="2020" t="s">
        <v>33</v>
      </c>
      <c r="C440" s="1946" t="s">
        <v>34</v>
      </c>
      <c r="D440" s="1946" t="s">
        <v>3831</v>
      </c>
      <c r="E440" s="1792" t="s">
        <v>3992</v>
      </c>
      <c r="F440" s="1946" t="s">
        <v>3913</v>
      </c>
      <c r="G440" s="38" t="s">
        <v>3133</v>
      </c>
      <c r="H440" s="775" t="s">
        <v>35</v>
      </c>
      <c r="I440" s="780" t="s">
        <v>19</v>
      </c>
      <c r="J440" s="815">
        <v>90</v>
      </c>
      <c r="K440" s="815">
        <v>91</v>
      </c>
      <c r="L440" s="783"/>
      <c r="M440" s="815">
        <v>92</v>
      </c>
      <c r="N440" s="783"/>
      <c r="O440" s="815">
        <v>93</v>
      </c>
      <c r="P440" s="783"/>
      <c r="Q440" s="815">
        <v>94</v>
      </c>
      <c r="R440" s="783"/>
      <c r="S440" s="815">
        <v>95</v>
      </c>
      <c r="T440" s="783"/>
      <c r="U440" s="815">
        <v>100</v>
      </c>
      <c r="V440" s="783"/>
      <c r="W440" s="776">
        <v>100</v>
      </c>
      <c r="X440" s="777"/>
      <c r="Y440" s="786" t="s">
        <v>1601</v>
      </c>
    </row>
    <row r="441" spans="2:25" ht="72" x14ac:dyDescent="0.25">
      <c r="B441" s="2020"/>
      <c r="C441" s="1947"/>
      <c r="D441" s="1947"/>
      <c r="E441" s="1793"/>
      <c r="F441" s="1947"/>
      <c r="G441" s="775" t="s">
        <v>36</v>
      </c>
      <c r="H441" s="778" t="s">
        <v>386</v>
      </c>
      <c r="I441" s="780" t="s">
        <v>19</v>
      </c>
      <c r="J441" s="815">
        <v>100</v>
      </c>
      <c r="K441" s="816">
        <v>20</v>
      </c>
      <c r="L441" s="817">
        <f>SUM(L442:L454)</f>
        <v>244577</v>
      </c>
      <c r="M441" s="816">
        <v>20</v>
      </c>
      <c r="N441" s="817">
        <f>SUM(N442:N454)</f>
        <v>285185</v>
      </c>
      <c r="O441" s="816">
        <v>20</v>
      </c>
      <c r="P441" s="817">
        <f>SUM(P442:P454)</f>
        <v>312800</v>
      </c>
      <c r="Q441" s="816">
        <v>20</v>
      </c>
      <c r="R441" s="817">
        <f>SUM(R442:R454)</f>
        <v>353780</v>
      </c>
      <c r="S441" s="816">
        <v>20</v>
      </c>
      <c r="T441" s="817">
        <f>SUM(T442:T454)</f>
        <v>387078</v>
      </c>
      <c r="U441" s="818">
        <v>20</v>
      </c>
      <c r="V441" s="817">
        <f>SUM(V442:V454)</f>
        <v>425156.4</v>
      </c>
      <c r="W441" s="784">
        <v>100</v>
      </c>
      <c r="X441" s="777"/>
      <c r="Y441" s="786" t="s">
        <v>1601</v>
      </c>
    </row>
    <row r="442" spans="2:25" ht="38.25" x14ac:dyDescent="0.25">
      <c r="B442" s="2020"/>
      <c r="C442" s="787"/>
      <c r="D442" s="787"/>
      <c r="E442" s="787"/>
      <c r="F442" s="787"/>
      <c r="G442" s="788" t="s">
        <v>124</v>
      </c>
      <c r="H442" s="788" t="s">
        <v>454</v>
      </c>
      <c r="I442" s="790" t="s">
        <v>1158</v>
      </c>
      <c r="J442" s="800"/>
      <c r="K442" s="819">
        <v>12</v>
      </c>
      <c r="L442" s="820">
        <v>2400</v>
      </c>
      <c r="M442" s="819">
        <v>12</v>
      </c>
      <c r="N442" s="820">
        <v>2700</v>
      </c>
      <c r="O442" s="819">
        <v>12</v>
      </c>
      <c r="P442" s="820">
        <v>3000</v>
      </c>
      <c r="Q442" s="819">
        <v>12</v>
      </c>
      <c r="R442" s="820">
        <v>3300</v>
      </c>
      <c r="S442" s="819">
        <v>12</v>
      </c>
      <c r="T442" s="820">
        <v>3500</v>
      </c>
      <c r="U442" s="819">
        <v>12</v>
      </c>
      <c r="V442" s="820">
        <v>3600</v>
      </c>
      <c r="W442" s="794"/>
      <c r="X442" s="785"/>
      <c r="Y442" s="786" t="s">
        <v>1601</v>
      </c>
    </row>
    <row r="443" spans="2:25" ht="63.75" x14ac:dyDescent="0.25">
      <c r="B443" s="2020"/>
      <c r="C443" s="787"/>
      <c r="D443" s="787"/>
      <c r="E443" s="787"/>
      <c r="F443" s="787"/>
      <c r="G443" s="789" t="s">
        <v>126</v>
      </c>
      <c r="H443" s="789" t="s">
        <v>2320</v>
      </c>
      <c r="I443" s="790" t="s">
        <v>1158</v>
      </c>
      <c r="J443" s="800"/>
      <c r="K443" s="819">
        <v>12</v>
      </c>
      <c r="L443" s="820">
        <v>58677</v>
      </c>
      <c r="M443" s="819">
        <v>12</v>
      </c>
      <c r="N443" s="820">
        <v>63985</v>
      </c>
      <c r="O443" s="819">
        <v>12</v>
      </c>
      <c r="P443" s="820">
        <v>70000</v>
      </c>
      <c r="Q443" s="819">
        <v>12</v>
      </c>
      <c r="R443" s="820">
        <v>77000</v>
      </c>
      <c r="S443" s="819">
        <v>12</v>
      </c>
      <c r="T443" s="820">
        <v>85000</v>
      </c>
      <c r="U443" s="819">
        <v>12</v>
      </c>
      <c r="V443" s="820">
        <v>93500</v>
      </c>
      <c r="W443" s="794"/>
      <c r="X443" s="785"/>
      <c r="Y443" s="786" t="s">
        <v>1601</v>
      </c>
    </row>
    <row r="444" spans="2:25" ht="89.25" x14ac:dyDescent="0.25">
      <c r="B444" s="2020"/>
      <c r="C444" s="787"/>
      <c r="D444" s="787"/>
      <c r="E444" s="787"/>
      <c r="F444" s="787"/>
      <c r="G444" s="789" t="s">
        <v>43</v>
      </c>
      <c r="H444" s="789" t="s">
        <v>2321</v>
      </c>
      <c r="I444" s="790" t="s">
        <v>1158</v>
      </c>
      <c r="J444" s="800"/>
      <c r="K444" s="819">
        <v>12</v>
      </c>
      <c r="L444" s="820">
        <v>50000</v>
      </c>
      <c r="M444" s="819">
        <v>12</v>
      </c>
      <c r="N444" s="820">
        <v>60000</v>
      </c>
      <c r="O444" s="819">
        <v>12</v>
      </c>
      <c r="P444" s="820">
        <v>66000</v>
      </c>
      <c r="Q444" s="819">
        <v>12</v>
      </c>
      <c r="R444" s="820">
        <v>73000</v>
      </c>
      <c r="S444" s="819">
        <v>12</v>
      </c>
      <c r="T444" s="820">
        <v>80000</v>
      </c>
      <c r="U444" s="819">
        <v>12</v>
      </c>
      <c r="V444" s="820">
        <v>88000</v>
      </c>
      <c r="W444" s="794"/>
      <c r="X444" s="785"/>
      <c r="Y444" s="786" t="s">
        <v>1601</v>
      </c>
    </row>
    <row r="445" spans="2:25" ht="51" x14ac:dyDescent="0.25">
      <c r="B445" s="2020"/>
      <c r="C445" s="787"/>
      <c r="D445" s="787"/>
      <c r="E445" s="787"/>
      <c r="F445" s="787"/>
      <c r="G445" s="788" t="s">
        <v>45</v>
      </c>
      <c r="H445" s="788" t="s">
        <v>2322</v>
      </c>
      <c r="I445" s="790" t="s">
        <v>1158</v>
      </c>
      <c r="J445" s="800"/>
      <c r="K445" s="819">
        <v>12</v>
      </c>
      <c r="L445" s="820">
        <v>27000</v>
      </c>
      <c r="M445" s="819">
        <v>12</v>
      </c>
      <c r="N445" s="820">
        <v>34000</v>
      </c>
      <c r="O445" s="819">
        <v>12</v>
      </c>
      <c r="P445" s="820">
        <v>37400</v>
      </c>
      <c r="Q445" s="819">
        <v>12</v>
      </c>
      <c r="R445" s="820">
        <v>41140</v>
      </c>
      <c r="S445" s="819">
        <v>12</v>
      </c>
      <c r="T445" s="820">
        <v>45254</v>
      </c>
      <c r="U445" s="819">
        <v>12</v>
      </c>
      <c r="V445" s="820">
        <v>50000</v>
      </c>
      <c r="W445" s="794"/>
      <c r="X445" s="785"/>
      <c r="Y445" s="786" t="s">
        <v>1601</v>
      </c>
    </row>
    <row r="446" spans="2:25" ht="38.25" x14ac:dyDescent="0.25">
      <c r="B446" s="2020"/>
      <c r="C446" s="787"/>
      <c r="D446" s="787"/>
      <c r="E446" s="787"/>
      <c r="F446" s="787"/>
      <c r="G446" s="788" t="s">
        <v>47</v>
      </c>
      <c r="H446" s="788" t="s">
        <v>458</v>
      </c>
      <c r="I446" s="790" t="s">
        <v>1158</v>
      </c>
      <c r="J446" s="800"/>
      <c r="K446" s="819">
        <v>12</v>
      </c>
      <c r="L446" s="820">
        <v>2500</v>
      </c>
      <c r="M446" s="819">
        <v>12</v>
      </c>
      <c r="N446" s="820">
        <v>4000</v>
      </c>
      <c r="O446" s="819">
        <v>12</v>
      </c>
      <c r="P446" s="820">
        <v>4400</v>
      </c>
      <c r="Q446" s="819">
        <v>12</v>
      </c>
      <c r="R446" s="820">
        <v>14840</v>
      </c>
      <c r="S446" s="819">
        <v>12</v>
      </c>
      <c r="T446" s="820">
        <v>16324</v>
      </c>
      <c r="U446" s="819">
        <v>12</v>
      </c>
      <c r="V446" s="820">
        <v>19456.400000000001</v>
      </c>
      <c r="W446" s="794"/>
      <c r="X446" s="785"/>
      <c r="Y446" s="786" t="s">
        <v>1601</v>
      </c>
    </row>
    <row r="447" spans="2:25" ht="38.25" x14ac:dyDescent="0.25">
      <c r="B447" s="2020"/>
      <c r="C447" s="787"/>
      <c r="D447" s="787"/>
      <c r="E447" s="787"/>
      <c r="F447" s="787"/>
      <c r="G447" s="788" t="s">
        <v>130</v>
      </c>
      <c r="H447" s="788" t="s">
        <v>460</v>
      </c>
      <c r="I447" s="790" t="s">
        <v>1158</v>
      </c>
      <c r="J447" s="800"/>
      <c r="K447" s="819">
        <v>12</v>
      </c>
      <c r="L447" s="820">
        <v>10000</v>
      </c>
      <c r="M447" s="819">
        <v>12</v>
      </c>
      <c r="N447" s="820">
        <v>11000</v>
      </c>
      <c r="O447" s="819">
        <v>12</v>
      </c>
      <c r="P447" s="820">
        <v>12000</v>
      </c>
      <c r="Q447" s="819">
        <v>12</v>
      </c>
      <c r="R447" s="820">
        <v>13000</v>
      </c>
      <c r="S447" s="819">
        <v>12</v>
      </c>
      <c r="T447" s="820">
        <v>14000</v>
      </c>
      <c r="U447" s="819">
        <v>12</v>
      </c>
      <c r="V447" s="820">
        <v>15000</v>
      </c>
      <c r="W447" s="794"/>
      <c r="X447" s="785"/>
      <c r="Y447" s="786" t="s">
        <v>1601</v>
      </c>
    </row>
    <row r="448" spans="2:25" ht="25.5" x14ac:dyDescent="0.25">
      <c r="B448" s="2020"/>
      <c r="C448" s="787"/>
      <c r="D448" s="787"/>
      <c r="E448" s="787"/>
      <c r="F448" s="787"/>
      <c r="G448" s="788" t="s">
        <v>50</v>
      </c>
      <c r="H448" s="788" t="s">
        <v>2323</v>
      </c>
      <c r="I448" s="790" t="s">
        <v>1158</v>
      </c>
      <c r="J448" s="800"/>
      <c r="K448" s="819">
        <v>12</v>
      </c>
      <c r="L448" s="820">
        <v>10000</v>
      </c>
      <c r="M448" s="819">
        <v>12</v>
      </c>
      <c r="N448" s="820">
        <v>11000</v>
      </c>
      <c r="O448" s="819">
        <v>12</v>
      </c>
      <c r="P448" s="820">
        <v>12000</v>
      </c>
      <c r="Q448" s="819">
        <v>12</v>
      </c>
      <c r="R448" s="820">
        <v>13000</v>
      </c>
      <c r="S448" s="819">
        <v>12</v>
      </c>
      <c r="T448" s="820">
        <v>14000</v>
      </c>
      <c r="U448" s="819">
        <v>12</v>
      </c>
      <c r="V448" s="820">
        <v>15000</v>
      </c>
      <c r="W448" s="794"/>
      <c r="X448" s="785"/>
      <c r="Y448" s="786" t="s">
        <v>1601</v>
      </c>
    </row>
    <row r="449" spans="2:25" ht="51" x14ac:dyDescent="0.25">
      <c r="B449" s="2020"/>
      <c r="C449" s="787"/>
      <c r="D449" s="787"/>
      <c r="E449" s="787"/>
      <c r="F449" s="787"/>
      <c r="G449" s="789" t="s">
        <v>52</v>
      </c>
      <c r="H449" s="789" t="s">
        <v>2324</v>
      </c>
      <c r="I449" s="790" t="s">
        <v>1158</v>
      </c>
      <c r="J449" s="800"/>
      <c r="K449" s="819">
        <v>12</v>
      </c>
      <c r="L449" s="820">
        <v>12000</v>
      </c>
      <c r="M449" s="819">
        <v>12</v>
      </c>
      <c r="N449" s="820">
        <v>13200</v>
      </c>
      <c r="O449" s="819">
        <v>12</v>
      </c>
      <c r="P449" s="820">
        <v>14500</v>
      </c>
      <c r="Q449" s="819">
        <v>12</v>
      </c>
      <c r="R449" s="820">
        <v>16000</v>
      </c>
      <c r="S449" s="819">
        <v>12</v>
      </c>
      <c r="T449" s="820">
        <v>17500</v>
      </c>
      <c r="U449" s="819">
        <v>12</v>
      </c>
      <c r="V449" s="820">
        <v>19000</v>
      </c>
      <c r="W449" s="794"/>
      <c r="X449" s="785"/>
      <c r="Y449" s="786" t="s">
        <v>1601</v>
      </c>
    </row>
    <row r="450" spans="2:25" ht="89.25" x14ac:dyDescent="0.25">
      <c r="B450" s="2020"/>
      <c r="C450" s="787"/>
      <c r="D450" s="787"/>
      <c r="E450" s="787"/>
      <c r="F450" s="787"/>
      <c r="G450" s="789" t="s">
        <v>54</v>
      </c>
      <c r="H450" s="789" t="s">
        <v>2325</v>
      </c>
      <c r="I450" s="790" t="s">
        <v>1158</v>
      </c>
      <c r="J450" s="800"/>
      <c r="K450" s="819">
        <v>12</v>
      </c>
      <c r="L450" s="820">
        <v>4000</v>
      </c>
      <c r="M450" s="819">
        <v>12</v>
      </c>
      <c r="N450" s="820">
        <v>4500</v>
      </c>
      <c r="O450" s="819">
        <v>12</v>
      </c>
      <c r="P450" s="820">
        <v>5000</v>
      </c>
      <c r="Q450" s="819">
        <v>12</v>
      </c>
      <c r="R450" s="820">
        <v>5500</v>
      </c>
      <c r="S450" s="819">
        <v>12</v>
      </c>
      <c r="T450" s="820">
        <v>6000</v>
      </c>
      <c r="U450" s="819">
        <v>12</v>
      </c>
      <c r="V450" s="820">
        <v>6600</v>
      </c>
      <c r="W450" s="794"/>
      <c r="X450" s="785"/>
      <c r="Y450" s="786" t="s">
        <v>1601</v>
      </c>
    </row>
    <row r="451" spans="2:25" ht="63.75" x14ac:dyDescent="0.25">
      <c r="B451" s="2020"/>
      <c r="C451" s="787"/>
      <c r="D451" s="787"/>
      <c r="E451" s="787"/>
      <c r="F451" s="787"/>
      <c r="G451" s="789" t="s">
        <v>56</v>
      </c>
      <c r="H451" s="789" t="s">
        <v>57</v>
      </c>
      <c r="I451" s="790" t="s">
        <v>1158</v>
      </c>
      <c r="J451" s="800"/>
      <c r="K451" s="819">
        <v>12</v>
      </c>
      <c r="L451" s="820">
        <v>3000</v>
      </c>
      <c r="M451" s="819">
        <v>12</v>
      </c>
      <c r="N451" s="820">
        <v>3300</v>
      </c>
      <c r="O451" s="819">
        <v>12</v>
      </c>
      <c r="P451" s="820">
        <v>3500</v>
      </c>
      <c r="Q451" s="819">
        <v>12</v>
      </c>
      <c r="R451" s="820">
        <v>3500</v>
      </c>
      <c r="S451" s="819">
        <v>12</v>
      </c>
      <c r="T451" s="820">
        <v>3500</v>
      </c>
      <c r="U451" s="819">
        <v>12</v>
      </c>
      <c r="V451" s="820">
        <v>3500</v>
      </c>
      <c r="W451" s="794"/>
      <c r="X451" s="785"/>
      <c r="Y451" s="786" t="s">
        <v>1601</v>
      </c>
    </row>
    <row r="452" spans="2:25" ht="51" x14ac:dyDescent="0.25">
      <c r="B452" s="2020"/>
      <c r="C452" s="787"/>
      <c r="D452" s="787"/>
      <c r="E452" s="787"/>
      <c r="F452" s="787"/>
      <c r="G452" s="789" t="s">
        <v>58</v>
      </c>
      <c r="H452" s="789" t="s">
        <v>2326</v>
      </c>
      <c r="I452" s="790" t="s">
        <v>1158</v>
      </c>
      <c r="J452" s="800"/>
      <c r="K452" s="819">
        <v>12</v>
      </c>
      <c r="L452" s="820">
        <v>10000</v>
      </c>
      <c r="M452" s="819">
        <v>12</v>
      </c>
      <c r="N452" s="820">
        <v>11000</v>
      </c>
      <c r="O452" s="819">
        <v>12</v>
      </c>
      <c r="P452" s="820">
        <v>12000</v>
      </c>
      <c r="Q452" s="819">
        <v>12</v>
      </c>
      <c r="R452" s="820">
        <v>13000</v>
      </c>
      <c r="S452" s="819">
        <v>12</v>
      </c>
      <c r="T452" s="820">
        <v>14000</v>
      </c>
      <c r="U452" s="819">
        <v>12</v>
      </c>
      <c r="V452" s="820">
        <v>15000</v>
      </c>
      <c r="W452" s="794"/>
      <c r="X452" s="785"/>
      <c r="Y452" s="786" t="s">
        <v>1601</v>
      </c>
    </row>
    <row r="453" spans="2:25" ht="63.75" x14ac:dyDescent="0.25">
      <c r="B453" s="2020"/>
      <c r="C453" s="787"/>
      <c r="D453" s="787"/>
      <c r="E453" s="787"/>
      <c r="F453" s="787"/>
      <c r="G453" s="789" t="s">
        <v>137</v>
      </c>
      <c r="H453" s="789" t="s">
        <v>2327</v>
      </c>
      <c r="I453" s="790" t="s">
        <v>1158</v>
      </c>
      <c r="J453" s="800"/>
      <c r="K453" s="819">
        <v>12</v>
      </c>
      <c r="L453" s="820">
        <v>40000</v>
      </c>
      <c r="M453" s="819">
        <v>12</v>
      </c>
      <c r="N453" s="820">
        <v>50000</v>
      </c>
      <c r="O453" s="819">
        <v>12</v>
      </c>
      <c r="P453" s="820">
        <v>55000</v>
      </c>
      <c r="Q453" s="819">
        <v>12</v>
      </c>
      <c r="R453" s="820">
        <v>60500</v>
      </c>
      <c r="S453" s="819">
        <v>12</v>
      </c>
      <c r="T453" s="820">
        <v>66000</v>
      </c>
      <c r="U453" s="819">
        <v>12</v>
      </c>
      <c r="V453" s="820">
        <v>72500</v>
      </c>
      <c r="W453" s="794"/>
      <c r="X453" s="785"/>
      <c r="Y453" s="786" t="s">
        <v>1601</v>
      </c>
    </row>
    <row r="454" spans="2:25" ht="51" x14ac:dyDescent="0.25">
      <c r="B454" s="2020"/>
      <c r="C454" s="787"/>
      <c r="D454" s="787"/>
      <c r="E454" s="787"/>
      <c r="F454" s="787"/>
      <c r="G454" s="789" t="s">
        <v>139</v>
      </c>
      <c r="H454" s="789" t="s">
        <v>2328</v>
      </c>
      <c r="I454" s="790" t="s">
        <v>1158</v>
      </c>
      <c r="J454" s="800"/>
      <c r="K454" s="819">
        <v>12</v>
      </c>
      <c r="L454" s="820">
        <v>15000</v>
      </c>
      <c r="M454" s="819">
        <v>12</v>
      </c>
      <c r="N454" s="820">
        <v>16500</v>
      </c>
      <c r="O454" s="819">
        <v>12</v>
      </c>
      <c r="P454" s="820">
        <v>18000</v>
      </c>
      <c r="Q454" s="819">
        <v>12</v>
      </c>
      <c r="R454" s="820">
        <v>20000</v>
      </c>
      <c r="S454" s="819">
        <v>12</v>
      </c>
      <c r="T454" s="820">
        <v>22000</v>
      </c>
      <c r="U454" s="819">
        <v>12</v>
      </c>
      <c r="V454" s="820">
        <v>24000</v>
      </c>
      <c r="W454" s="794"/>
      <c r="X454" s="785"/>
      <c r="Y454" s="786" t="s">
        <v>1601</v>
      </c>
    </row>
    <row r="455" spans="2:25" ht="72" x14ac:dyDescent="0.25">
      <c r="B455" s="2020"/>
      <c r="C455" s="787"/>
      <c r="D455" s="787"/>
      <c r="E455" s="787"/>
      <c r="F455" s="779"/>
      <c r="G455" s="775" t="s">
        <v>65</v>
      </c>
      <c r="H455" s="778" t="s">
        <v>1643</v>
      </c>
      <c r="I455" s="780" t="s">
        <v>19</v>
      </c>
      <c r="J455" s="815"/>
      <c r="K455" s="818">
        <v>20</v>
      </c>
      <c r="L455" s="817">
        <f>SUM(L456:L461)</f>
        <v>86000</v>
      </c>
      <c r="M455" s="816">
        <v>20</v>
      </c>
      <c r="N455" s="817">
        <f>SUM(N456:N461)</f>
        <v>155450</v>
      </c>
      <c r="O455" s="816">
        <v>20</v>
      </c>
      <c r="P455" s="817">
        <f>SUM(P456:P461)</f>
        <v>106000</v>
      </c>
      <c r="Q455" s="816">
        <v>20</v>
      </c>
      <c r="R455" s="817">
        <f>SUM(R456:R461)</f>
        <v>112000</v>
      </c>
      <c r="S455" s="816">
        <v>20</v>
      </c>
      <c r="T455" s="817">
        <f>SUM(T456:T461)</f>
        <v>118500</v>
      </c>
      <c r="U455" s="816">
        <v>20</v>
      </c>
      <c r="V455" s="817">
        <f>SUM(V456:V461)</f>
        <v>209000</v>
      </c>
      <c r="W455" s="784">
        <v>100</v>
      </c>
      <c r="X455" s="777"/>
      <c r="Y455" s="786" t="s">
        <v>1601</v>
      </c>
    </row>
    <row r="456" spans="2:25" ht="89.25" x14ac:dyDescent="0.25">
      <c r="B456" s="2020"/>
      <c r="C456" s="787"/>
      <c r="D456" s="787"/>
      <c r="E456" s="787"/>
      <c r="F456" s="787"/>
      <c r="G456" s="788" t="s">
        <v>144</v>
      </c>
      <c r="H456" s="789" t="s">
        <v>2329</v>
      </c>
      <c r="I456" s="790" t="s">
        <v>251</v>
      </c>
      <c r="J456" s="800"/>
      <c r="K456" s="819">
        <v>9</v>
      </c>
      <c r="L456" s="820">
        <v>27000</v>
      </c>
      <c r="M456" s="819">
        <v>4</v>
      </c>
      <c r="N456" s="820">
        <v>22950</v>
      </c>
      <c r="O456" s="819">
        <v>4</v>
      </c>
      <c r="P456" s="821">
        <v>30000</v>
      </c>
      <c r="Q456" s="819">
        <v>4</v>
      </c>
      <c r="R456" s="821">
        <v>32000</v>
      </c>
      <c r="S456" s="819">
        <v>4</v>
      </c>
      <c r="T456" s="821">
        <v>35000</v>
      </c>
      <c r="U456" s="819">
        <v>4</v>
      </c>
      <c r="V456" s="821">
        <v>36000</v>
      </c>
      <c r="W456" s="794"/>
      <c r="X456" s="785"/>
      <c r="Y456" s="786" t="s">
        <v>1601</v>
      </c>
    </row>
    <row r="457" spans="2:25" ht="102" x14ac:dyDescent="0.25">
      <c r="B457" s="2020"/>
      <c r="C457" s="787"/>
      <c r="D457" s="787"/>
      <c r="E457" s="787"/>
      <c r="F457" s="787"/>
      <c r="G457" s="788" t="s">
        <v>149</v>
      </c>
      <c r="H457" s="788" t="s">
        <v>2330</v>
      </c>
      <c r="I457" s="790" t="s">
        <v>251</v>
      </c>
      <c r="J457" s="800"/>
      <c r="K457" s="819">
        <v>5</v>
      </c>
      <c r="L457" s="820">
        <v>2000</v>
      </c>
      <c r="M457" s="819">
        <v>4</v>
      </c>
      <c r="N457" s="820">
        <v>21000</v>
      </c>
      <c r="O457" s="819">
        <v>4</v>
      </c>
      <c r="P457" s="820">
        <v>23000</v>
      </c>
      <c r="Q457" s="819">
        <v>4</v>
      </c>
      <c r="R457" s="820">
        <v>25000</v>
      </c>
      <c r="S457" s="819">
        <v>4</v>
      </c>
      <c r="T457" s="820">
        <v>27000</v>
      </c>
      <c r="U457" s="819">
        <v>4</v>
      </c>
      <c r="V457" s="820">
        <v>30000</v>
      </c>
      <c r="W457" s="794"/>
      <c r="X457" s="785"/>
      <c r="Y457" s="786" t="s">
        <v>1601</v>
      </c>
    </row>
    <row r="458" spans="2:25" ht="89.25" x14ac:dyDescent="0.25">
      <c r="B458" s="2020"/>
      <c r="C458" s="787"/>
      <c r="D458" s="787"/>
      <c r="E458" s="787"/>
      <c r="F458" s="787"/>
      <c r="G458" s="788" t="s">
        <v>158</v>
      </c>
      <c r="H458" s="789" t="s">
        <v>2331</v>
      </c>
      <c r="I458" s="790" t="s">
        <v>646</v>
      </c>
      <c r="J458" s="800"/>
      <c r="K458" s="819">
        <v>5</v>
      </c>
      <c r="L458" s="820">
        <v>7000</v>
      </c>
      <c r="M458" s="819">
        <v>6</v>
      </c>
      <c r="N458" s="820">
        <v>20000</v>
      </c>
      <c r="O458" s="819">
        <v>3</v>
      </c>
      <c r="P458" s="820">
        <v>22000</v>
      </c>
      <c r="Q458" s="819">
        <v>3</v>
      </c>
      <c r="R458" s="820">
        <v>24000</v>
      </c>
      <c r="S458" s="819">
        <v>3</v>
      </c>
      <c r="T458" s="820">
        <v>25000</v>
      </c>
      <c r="U458" s="819">
        <v>3</v>
      </c>
      <c r="V458" s="820">
        <v>27000</v>
      </c>
      <c r="W458" s="794"/>
      <c r="X458" s="785"/>
      <c r="Y458" s="786" t="s">
        <v>1601</v>
      </c>
    </row>
    <row r="459" spans="2:25" ht="38.25" x14ac:dyDescent="0.25">
      <c r="B459" s="2020"/>
      <c r="C459" s="787"/>
      <c r="D459" s="787"/>
      <c r="E459" s="787"/>
      <c r="F459" s="787"/>
      <c r="G459" s="788" t="s">
        <v>2332</v>
      </c>
      <c r="H459" s="789" t="s">
        <v>2333</v>
      </c>
      <c r="I459" s="790" t="s">
        <v>251</v>
      </c>
      <c r="J459" s="800"/>
      <c r="K459" s="819"/>
      <c r="L459" s="820"/>
      <c r="M459" s="819">
        <v>4</v>
      </c>
      <c r="N459" s="820">
        <v>76000</v>
      </c>
      <c r="O459" s="819"/>
      <c r="P459" s="820"/>
      <c r="Q459" s="819"/>
      <c r="R459" s="820"/>
      <c r="S459" s="819"/>
      <c r="T459" s="820"/>
      <c r="U459" s="819">
        <v>4</v>
      </c>
      <c r="V459" s="820">
        <v>84000</v>
      </c>
      <c r="W459" s="794"/>
      <c r="X459" s="785"/>
      <c r="Y459" s="786" t="s">
        <v>1601</v>
      </c>
    </row>
    <row r="460" spans="2:25" ht="89.25" x14ac:dyDescent="0.25">
      <c r="B460" s="2020"/>
      <c r="C460" s="787"/>
      <c r="D460" s="787"/>
      <c r="E460" s="787"/>
      <c r="F460" s="787"/>
      <c r="G460" s="788" t="s">
        <v>164</v>
      </c>
      <c r="H460" s="789" t="s">
        <v>2334</v>
      </c>
      <c r="I460" s="790" t="s">
        <v>1158</v>
      </c>
      <c r="J460" s="800"/>
      <c r="K460" s="819">
        <v>12</v>
      </c>
      <c r="L460" s="820">
        <v>45000</v>
      </c>
      <c r="M460" s="819">
        <v>12</v>
      </c>
      <c r="N460" s="820">
        <v>10000</v>
      </c>
      <c r="O460" s="819">
        <v>12</v>
      </c>
      <c r="P460" s="820">
        <v>25000</v>
      </c>
      <c r="Q460" s="819">
        <v>12</v>
      </c>
      <c r="R460" s="820">
        <v>25000</v>
      </c>
      <c r="S460" s="819">
        <v>12</v>
      </c>
      <c r="T460" s="820">
        <v>25000</v>
      </c>
      <c r="U460" s="819">
        <v>12</v>
      </c>
      <c r="V460" s="820">
        <v>25000</v>
      </c>
      <c r="W460" s="794"/>
      <c r="X460" s="785"/>
      <c r="Y460" s="786" t="s">
        <v>1601</v>
      </c>
    </row>
    <row r="461" spans="2:25" ht="25.5" x14ac:dyDescent="0.25">
      <c r="B461" s="2020"/>
      <c r="C461" s="787"/>
      <c r="D461" s="787"/>
      <c r="E461" s="787"/>
      <c r="F461" s="787"/>
      <c r="G461" s="788" t="s">
        <v>73</v>
      </c>
      <c r="H461" s="788" t="s">
        <v>2335</v>
      </c>
      <c r="I461" s="790" t="s">
        <v>1158</v>
      </c>
      <c r="J461" s="800"/>
      <c r="K461" s="819">
        <v>12</v>
      </c>
      <c r="L461" s="820">
        <v>5000</v>
      </c>
      <c r="M461" s="819">
        <v>12</v>
      </c>
      <c r="N461" s="820">
        <v>5500</v>
      </c>
      <c r="O461" s="819">
        <v>12</v>
      </c>
      <c r="P461" s="820">
        <v>6000</v>
      </c>
      <c r="Q461" s="819">
        <v>12</v>
      </c>
      <c r="R461" s="820">
        <v>6000</v>
      </c>
      <c r="S461" s="819">
        <v>12</v>
      </c>
      <c r="T461" s="820">
        <v>6500</v>
      </c>
      <c r="U461" s="819">
        <v>12</v>
      </c>
      <c r="V461" s="820">
        <v>7000</v>
      </c>
      <c r="W461" s="794"/>
      <c r="X461" s="785"/>
      <c r="Y461" s="786" t="s">
        <v>1601</v>
      </c>
    </row>
    <row r="462" spans="2:25" ht="60" x14ac:dyDescent="0.25">
      <c r="B462" s="2020"/>
      <c r="C462" s="787"/>
      <c r="D462" s="787"/>
      <c r="E462" s="787"/>
      <c r="F462" s="779"/>
      <c r="G462" s="778" t="s">
        <v>77</v>
      </c>
      <c r="H462" s="778" t="s">
        <v>1501</v>
      </c>
      <c r="I462" s="780" t="s">
        <v>257</v>
      </c>
      <c r="J462" s="815"/>
      <c r="K462" s="816">
        <v>8</v>
      </c>
      <c r="L462" s="822">
        <f>SUM(L463)</f>
        <v>60000</v>
      </c>
      <c r="M462" s="816">
        <v>7</v>
      </c>
      <c r="N462" s="822">
        <f>SUM(N463)</f>
        <v>66000</v>
      </c>
      <c r="O462" s="816">
        <v>7</v>
      </c>
      <c r="P462" s="822">
        <f>SUM(P463)</f>
        <v>67000</v>
      </c>
      <c r="Q462" s="816">
        <v>7</v>
      </c>
      <c r="R462" s="822">
        <f>SUM(R463)</f>
        <v>68000</v>
      </c>
      <c r="S462" s="816">
        <v>7</v>
      </c>
      <c r="T462" s="822">
        <f>SUM(T463)</f>
        <v>70000</v>
      </c>
      <c r="U462" s="816">
        <v>7</v>
      </c>
      <c r="V462" s="822">
        <f>SUM(V463)</f>
        <v>72000</v>
      </c>
      <c r="W462" s="784">
        <v>35</v>
      </c>
      <c r="X462" s="777"/>
      <c r="Y462" s="786" t="s">
        <v>1601</v>
      </c>
    </row>
    <row r="463" spans="2:25" ht="102" x14ac:dyDescent="0.25">
      <c r="B463" s="2020"/>
      <c r="C463" s="787"/>
      <c r="D463" s="787"/>
      <c r="E463" s="787"/>
      <c r="F463" s="787"/>
      <c r="G463" s="789" t="s">
        <v>80</v>
      </c>
      <c r="H463" s="789" t="s">
        <v>2336</v>
      </c>
      <c r="I463" s="790" t="s">
        <v>257</v>
      </c>
      <c r="J463" s="800"/>
      <c r="K463" s="819">
        <v>8</v>
      </c>
      <c r="L463" s="820">
        <v>60000</v>
      </c>
      <c r="M463" s="819">
        <v>7</v>
      </c>
      <c r="N463" s="820">
        <v>66000</v>
      </c>
      <c r="O463" s="819">
        <v>7</v>
      </c>
      <c r="P463" s="820">
        <v>67000</v>
      </c>
      <c r="Q463" s="819">
        <v>7</v>
      </c>
      <c r="R463" s="820">
        <v>68000</v>
      </c>
      <c r="S463" s="819">
        <v>7</v>
      </c>
      <c r="T463" s="820">
        <v>70000</v>
      </c>
      <c r="U463" s="819">
        <v>7</v>
      </c>
      <c r="V463" s="820">
        <v>72000</v>
      </c>
      <c r="W463" s="794"/>
      <c r="X463" s="785"/>
      <c r="Y463" s="786" t="s">
        <v>1601</v>
      </c>
    </row>
    <row r="464" spans="2:25" ht="48" x14ac:dyDescent="0.25">
      <c r="B464" s="2020"/>
      <c r="C464" s="787"/>
      <c r="D464" s="787"/>
      <c r="E464" s="787"/>
      <c r="F464" s="779"/>
      <c r="G464" s="775" t="s">
        <v>167</v>
      </c>
      <c r="H464" s="775" t="s">
        <v>1648</v>
      </c>
      <c r="I464" s="780" t="s">
        <v>79</v>
      </c>
      <c r="J464" s="810">
        <v>0</v>
      </c>
      <c r="K464" s="818">
        <v>1</v>
      </c>
      <c r="L464" s="822">
        <f>SUM(L465)</f>
        <v>10000</v>
      </c>
      <c r="M464" s="818">
        <v>1</v>
      </c>
      <c r="N464" s="822">
        <f>SUM(N465)</f>
        <v>12000</v>
      </c>
      <c r="O464" s="818">
        <v>1</v>
      </c>
      <c r="P464" s="822">
        <f>SUM(P465)</f>
        <v>14000</v>
      </c>
      <c r="Q464" s="818">
        <v>1</v>
      </c>
      <c r="R464" s="822">
        <f>SUM(R465)</f>
        <v>16000</v>
      </c>
      <c r="S464" s="818">
        <v>1</v>
      </c>
      <c r="T464" s="822">
        <f>SUM(T465)</f>
        <v>18000</v>
      </c>
      <c r="U464" s="818">
        <v>1</v>
      </c>
      <c r="V464" s="822">
        <f>SUM(V465)</f>
        <v>20000</v>
      </c>
      <c r="W464" s="784">
        <v>5</v>
      </c>
      <c r="X464" s="777"/>
      <c r="Y464" s="786" t="s">
        <v>1601</v>
      </c>
    </row>
    <row r="465" spans="2:25" ht="51" x14ac:dyDescent="0.25">
      <c r="B465" s="2020"/>
      <c r="C465" s="823"/>
      <c r="D465" s="823"/>
      <c r="E465" s="823"/>
      <c r="F465" s="823"/>
      <c r="G465" s="789" t="s">
        <v>169</v>
      </c>
      <c r="H465" s="789" t="s">
        <v>2337</v>
      </c>
      <c r="I465" s="790" t="s">
        <v>257</v>
      </c>
      <c r="J465" s="791"/>
      <c r="K465" s="824">
        <v>1</v>
      </c>
      <c r="L465" s="801">
        <v>10000</v>
      </c>
      <c r="M465" s="824">
        <v>1</v>
      </c>
      <c r="N465" s="801">
        <v>12000</v>
      </c>
      <c r="O465" s="824">
        <v>1</v>
      </c>
      <c r="P465" s="801">
        <v>14000</v>
      </c>
      <c r="Q465" s="824">
        <v>1</v>
      </c>
      <c r="R465" s="801">
        <v>16000</v>
      </c>
      <c r="S465" s="824">
        <v>1</v>
      </c>
      <c r="T465" s="801">
        <v>18000</v>
      </c>
      <c r="U465" s="824">
        <v>1</v>
      </c>
      <c r="V465" s="801">
        <v>20000</v>
      </c>
      <c r="W465" s="794"/>
      <c r="X465" s="785"/>
      <c r="Y465" s="786" t="s">
        <v>1601</v>
      </c>
    </row>
    <row r="466" spans="2:25" ht="13.5" thickBot="1" x14ac:dyDescent="0.3">
      <c r="B466" s="2016" t="s">
        <v>2118</v>
      </c>
      <c r="C466" s="2017"/>
      <c r="D466" s="2017"/>
      <c r="E466" s="2017"/>
      <c r="F466" s="2018"/>
      <c r="G466" s="825"/>
      <c r="H466" s="825"/>
      <c r="I466" s="826"/>
      <c r="J466" s="827"/>
      <c r="K466" s="827"/>
      <c r="L466" s="828">
        <f>SUM(L413:L465)/2</f>
        <v>3927922</v>
      </c>
      <c r="M466" s="827"/>
      <c r="N466" s="828">
        <f>SUM(N413:N465)/2</f>
        <v>5120405</v>
      </c>
      <c r="O466" s="827"/>
      <c r="P466" s="828">
        <f>SUM(P413:P465)/2</f>
        <v>6308800</v>
      </c>
      <c r="Q466" s="827"/>
      <c r="R466" s="828">
        <f>SUM(R413:R465)/2</f>
        <v>6653780</v>
      </c>
      <c r="S466" s="827"/>
      <c r="T466" s="828">
        <f>SUM(T413:T465)/2</f>
        <v>7072578</v>
      </c>
      <c r="U466" s="827"/>
      <c r="V466" s="828">
        <f>SUM(V413:V465)/2</f>
        <v>7175156.4000000004</v>
      </c>
      <c r="W466" s="829"/>
      <c r="X466" s="830"/>
      <c r="Y466" s="831"/>
    </row>
    <row r="467" spans="2:25" ht="13.5" thickTop="1" x14ac:dyDescent="0.25"/>
  </sheetData>
  <mergeCells count="144">
    <mergeCell ref="I4:I6"/>
    <mergeCell ref="J4:J6"/>
    <mergeCell ref="K4:W4"/>
    <mergeCell ref="B4:B6"/>
    <mergeCell ref="C4:C6"/>
    <mergeCell ref="D4:D6"/>
    <mergeCell ref="E4:E6"/>
    <mergeCell ref="F4:F6"/>
    <mergeCell ref="H4:H6"/>
    <mergeCell ref="G4:G6"/>
    <mergeCell ref="Y4:Y6"/>
    <mergeCell ref="K5:L5"/>
    <mergeCell ref="M5:N5"/>
    <mergeCell ref="O5:P5"/>
    <mergeCell ref="Q5:R5"/>
    <mergeCell ref="X4:X6"/>
    <mergeCell ref="S5:T5"/>
    <mergeCell ref="U5:V5"/>
    <mergeCell ref="W5:W6"/>
    <mergeCell ref="B163:B204"/>
    <mergeCell ref="C157:G157"/>
    <mergeCell ref="C125:C126"/>
    <mergeCell ref="F125:F126"/>
    <mergeCell ref="C163:C164"/>
    <mergeCell ref="B160:B162"/>
    <mergeCell ref="X12:X13"/>
    <mergeCell ref="G14:G16"/>
    <mergeCell ref="G48:G50"/>
    <mergeCell ref="X48:X50"/>
    <mergeCell ref="D125:D126"/>
    <mergeCell ref="C160:C162"/>
    <mergeCell ref="D160:D162"/>
    <mergeCell ref="E160:E162"/>
    <mergeCell ref="F160:F162"/>
    <mergeCell ref="G160:G162"/>
    <mergeCell ref="H160:H162"/>
    <mergeCell ref="I160:I162"/>
    <mergeCell ref="J160:J162"/>
    <mergeCell ref="K160:W160"/>
    <mergeCell ref="X160:X162"/>
    <mergeCell ref="B466:F466"/>
    <mergeCell ref="G223:G225"/>
    <mergeCell ref="G226:G230"/>
    <mergeCell ref="G231:G241"/>
    <mergeCell ref="B440:B465"/>
    <mergeCell ref="B206:B247"/>
    <mergeCell ref="B413:B438"/>
    <mergeCell ref="C206:C207"/>
    <mergeCell ref="D206:D207"/>
    <mergeCell ref="F206:F207"/>
    <mergeCell ref="B254:B292"/>
    <mergeCell ref="B248:F248"/>
    <mergeCell ref="C294:C295"/>
    <mergeCell ref="D294:D295"/>
    <mergeCell ref="F294:F295"/>
    <mergeCell ref="B294:B305"/>
    <mergeCell ref="C440:C441"/>
    <mergeCell ref="D440:D441"/>
    <mergeCell ref="F440:F441"/>
    <mergeCell ref="B378:B406"/>
    <mergeCell ref="E359:E376"/>
    <mergeCell ref="B407:F407"/>
    <mergeCell ref="B342:B346"/>
    <mergeCell ref="C342:C344"/>
    <mergeCell ref="B7:B11"/>
    <mergeCell ref="C11:C12"/>
    <mergeCell ref="E11:E12"/>
    <mergeCell ref="C120:C122"/>
    <mergeCell ref="D120:D122"/>
    <mergeCell ref="D11:D13"/>
    <mergeCell ref="E120:E121"/>
    <mergeCell ref="B120:B123"/>
    <mergeCell ref="B125:B156"/>
    <mergeCell ref="Y160:Y162"/>
    <mergeCell ref="K161:L161"/>
    <mergeCell ref="M161:N161"/>
    <mergeCell ref="O161:P161"/>
    <mergeCell ref="Q161:R161"/>
    <mergeCell ref="S161:T161"/>
    <mergeCell ref="X251:X253"/>
    <mergeCell ref="Y251:Y253"/>
    <mergeCell ref="K252:L252"/>
    <mergeCell ref="M252:N252"/>
    <mergeCell ref="O252:P252"/>
    <mergeCell ref="Q252:R252"/>
    <mergeCell ref="S252:T252"/>
    <mergeCell ref="U252:V252"/>
    <mergeCell ref="U161:V161"/>
    <mergeCell ref="W161:W162"/>
    <mergeCell ref="W252:W253"/>
    <mergeCell ref="B339:B341"/>
    <mergeCell ref="C339:C341"/>
    <mergeCell ref="D339:D341"/>
    <mergeCell ref="E339:E341"/>
    <mergeCell ref="F339:F341"/>
    <mergeCell ref="G339:G341"/>
    <mergeCell ref="H339:H341"/>
    <mergeCell ref="I339:I341"/>
    <mergeCell ref="J339:J341"/>
    <mergeCell ref="J251:J253"/>
    <mergeCell ref="K251:W251"/>
    <mergeCell ref="B251:B253"/>
    <mergeCell ref="C251:C253"/>
    <mergeCell ref="D251:D253"/>
    <mergeCell ref="E251:E253"/>
    <mergeCell ref="F251:F253"/>
    <mergeCell ref="G251:G253"/>
    <mergeCell ref="H251:H253"/>
    <mergeCell ref="I251:I253"/>
    <mergeCell ref="B410:B412"/>
    <mergeCell ref="C410:C412"/>
    <mergeCell ref="D410:D412"/>
    <mergeCell ref="E410:E412"/>
    <mergeCell ref="F410:F412"/>
    <mergeCell ref="G410:G412"/>
    <mergeCell ref="K339:W339"/>
    <mergeCell ref="X339:X341"/>
    <mergeCell ref="Y339:Y341"/>
    <mergeCell ref="K340:L340"/>
    <mergeCell ref="M340:N340"/>
    <mergeCell ref="O340:P340"/>
    <mergeCell ref="Q340:R340"/>
    <mergeCell ref="S340:T340"/>
    <mergeCell ref="U340:V340"/>
    <mergeCell ref="W340:W341"/>
    <mergeCell ref="D342:D344"/>
    <mergeCell ref="E342:E344"/>
    <mergeCell ref="F342:F344"/>
    <mergeCell ref="C378:C379"/>
    <mergeCell ref="D378:D379"/>
    <mergeCell ref="F378:F379"/>
    <mergeCell ref="H410:H412"/>
    <mergeCell ref="I410:I412"/>
    <mergeCell ref="J410:J412"/>
    <mergeCell ref="K410:W410"/>
    <mergeCell ref="X410:X412"/>
    <mergeCell ref="Y410:Y412"/>
    <mergeCell ref="K411:L411"/>
    <mergeCell ref="M411:N411"/>
    <mergeCell ref="O411:P411"/>
    <mergeCell ref="Q411:R411"/>
    <mergeCell ref="S411:T411"/>
    <mergeCell ref="U411:V411"/>
    <mergeCell ref="W411:W412"/>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Y1155"/>
  <sheetViews>
    <sheetView topLeftCell="A555" zoomScale="80" zoomScaleNormal="80" workbookViewId="0">
      <selection activeCell="C8" sqref="C8:C11"/>
    </sheetView>
  </sheetViews>
  <sheetFormatPr defaultRowHeight="12.75" x14ac:dyDescent="0.25"/>
  <cols>
    <col min="1" max="1" width="9.140625" style="1238"/>
    <col min="2" max="3" width="13.140625" style="1238" customWidth="1"/>
    <col min="4" max="4" width="15.140625" style="1238" customWidth="1"/>
    <col min="5" max="5" width="12.28515625" style="1238" customWidth="1"/>
    <col min="6" max="6" width="13" style="1238" customWidth="1"/>
    <col min="7" max="7" width="30" style="1238" customWidth="1"/>
    <col min="8" max="8" width="16.42578125" style="1238" customWidth="1"/>
    <col min="9" max="9" width="8.85546875" style="1239" customWidth="1"/>
    <col min="10" max="10" width="11.140625" style="1240" customWidth="1"/>
    <col min="11" max="11" width="10.85546875" style="1240" customWidth="1"/>
    <col min="12" max="12" width="12" style="1241" customWidth="1"/>
    <col min="13" max="13" width="10.85546875" style="1242" customWidth="1"/>
    <col min="14" max="14" width="14.42578125" style="1241" customWidth="1"/>
    <col min="15" max="15" width="11.28515625" style="1242" customWidth="1"/>
    <col min="16" max="16" width="14" style="1241" customWidth="1"/>
    <col min="17" max="17" width="11.28515625" style="1242" customWidth="1"/>
    <col min="18" max="18" width="13.42578125" style="1241" customWidth="1"/>
    <col min="19" max="19" width="11.85546875" style="1242" customWidth="1"/>
    <col min="20" max="20" width="14" style="1241" customWidth="1"/>
    <col min="21" max="21" width="11.5703125" style="1242" customWidth="1"/>
    <col min="22" max="22" width="14" style="1241" customWidth="1"/>
    <col min="23" max="23" width="9.140625" style="1242" customWidth="1"/>
    <col min="24" max="24" width="10.42578125" style="1238" customWidth="1"/>
    <col min="25" max="25" width="13.85546875" style="1238" customWidth="1"/>
    <col min="26" max="31" width="9.140625" style="1238"/>
    <col min="32" max="32" width="26.28515625" style="1238" customWidth="1"/>
    <col min="33" max="33" width="30.7109375" style="1238" customWidth="1"/>
    <col min="34" max="34" width="29.85546875" style="1238" customWidth="1"/>
    <col min="35" max="16384" width="9.140625" style="1238"/>
  </cols>
  <sheetData>
    <row r="2" spans="2:28" x14ac:dyDescent="0.25">
      <c r="B2" s="2102" t="s">
        <v>965</v>
      </c>
      <c r="C2" s="2102"/>
      <c r="D2" s="2102"/>
      <c r="E2" s="2102"/>
      <c r="F2" s="2102"/>
      <c r="G2" s="2102"/>
      <c r="H2" s="2102"/>
      <c r="I2" s="2102"/>
      <c r="J2" s="2102"/>
      <c r="K2" s="2102"/>
      <c r="L2" s="2102"/>
      <c r="M2" s="2102"/>
      <c r="N2" s="2102"/>
      <c r="O2" s="2102"/>
      <c r="P2" s="2102"/>
      <c r="Q2" s="2102"/>
      <c r="R2" s="2102"/>
      <c r="S2" s="2102"/>
      <c r="T2" s="2102"/>
      <c r="U2" s="2102"/>
      <c r="V2" s="2102"/>
      <c r="W2" s="2102"/>
      <c r="X2" s="1243"/>
      <c r="Y2" s="1243"/>
    </row>
    <row r="3" spans="2:28" x14ac:dyDescent="0.25">
      <c r="B3" s="1196"/>
      <c r="C3" s="1497"/>
      <c r="D3" s="1497"/>
      <c r="E3" s="1497"/>
      <c r="F3" s="1497"/>
      <c r="G3" s="1497"/>
      <c r="H3" s="1497"/>
      <c r="I3" s="1497"/>
      <c r="J3" s="1498"/>
      <c r="K3" s="1498"/>
      <c r="L3" s="1499"/>
      <c r="M3" s="1500"/>
      <c r="N3" s="1499"/>
      <c r="O3" s="1500"/>
      <c r="P3" s="1499"/>
      <c r="Q3" s="1500"/>
      <c r="R3" s="1499"/>
      <c r="S3" s="1500"/>
      <c r="T3" s="1499"/>
      <c r="U3" s="1500"/>
      <c r="V3" s="1499"/>
      <c r="W3" s="1500"/>
      <c r="X3" s="1243"/>
      <c r="Y3" s="1243"/>
    </row>
    <row r="4" spans="2:28" ht="13.5" thickBot="1" x14ac:dyDescent="0.3">
      <c r="B4" s="167"/>
      <c r="C4" s="1501"/>
      <c r="D4" s="1196"/>
      <c r="E4" s="1502"/>
      <c r="F4" s="167"/>
      <c r="G4" s="167"/>
      <c r="H4" s="167"/>
      <c r="I4" s="1497"/>
      <c r="J4" s="1498"/>
      <c r="K4" s="1498"/>
      <c r="L4" s="1499"/>
      <c r="M4" s="1500"/>
      <c r="N4" s="1499"/>
      <c r="O4" s="1500"/>
      <c r="P4" s="1499"/>
      <c r="Q4" s="1500"/>
      <c r="R4" s="1499"/>
      <c r="S4" s="1500"/>
      <c r="T4" s="1499"/>
      <c r="U4" s="1500"/>
      <c r="V4" s="1499"/>
      <c r="W4" s="1500"/>
      <c r="X4" s="1243"/>
      <c r="Y4" s="1243"/>
    </row>
    <row r="5" spans="2:28" ht="77.25" customHeight="1" thickTop="1" x14ac:dyDescent="0.25">
      <c r="B5" s="2045" t="s">
        <v>494</v>
      </c>
      <c r="C5" s="2040" t="s">
        <v>752</v>
      </c>
      <c r="D5" s="2040" t="s">
        <v>576</v>
      </c>
      <c r="E5" s="2040" t="s">
        <v>577</v>
      </c>
      <c r="F5" s="2103" t="s">
        <v>3127</v>
      </c>
      <c r="G5" s="2040" t="s">
        <v>3846</v>
      </c>
      <c r="H5" s="2040" t="s">
        <v>966</v>
      </c>
      <c r="I5" s="2040" t="s">
        <v>421</v>
      </c>
      <c r="J5" s="2055" t="s">
        <v>967</v>
      </c>
      <c r="K5" s="2053" t="s">
        <v>7</v>
      </c>
      <c r="L5" s="2054"/>
      <c r="M5" s="2054"/>
      <c r="N5" s="2054"/>
      <c r="O5" s="2054"/>
      <c r="P5" s="2054"/>
      <c r="Q5" s="2054"/>
      <c r="R5" s="2054"/>
      <c r="S5" s="2054"/>
      <c r="T5" s="2054"/>
      <c r="U5" s="2054"/>
      <c r="V5" s="2054"/>
      <c r="W5" s="2054"/>
      <c r="X5" s="2040" t="s">
        <v>653</v>
      </c>
      <c r="Y5" s="2049" t="s">
        <v>1147</v>
      </c>
    </row>
    <row r="6" spans="2:28" x14ac:dyDescent="0.25">
      <c r="B6" s="2046"/>
      <c r="C6" s="2041"/>
      <c r="D6" s="2041"/>
      <c r="E6" s="2041"/>
      <c r="F6" s="2104"/>
      <c r="G6" s="2041"/>
      <c r="H6" s="2041"/>
      <c r="I6" s="2041"/>
      <c r="J6" s="2052"/>
      <c r="K6" s="2051" t="s">
        <v>114</v>
      </c>
      <c r="L6" s="2038"/>
      <c r="M6" s="2051" t="s">
        <v>115</v>
      </c>
      <c r="N6" s="2038"/>
      <c r="O6" s="2051" t="s">
        <v>116</v>
      </c>
      <c r="P6" s="2038"/>
      <c r="Q6" s="2051" t="s">
        <v>117</v>
      </c>
      <c r="R6" s="2038"/>
      <c r="S6" s="2051" t="s">
        <v>118</v>
      </c>
      <c r="T6" s="2038"/>
      <c r="U6" s="2051" t="s">
        <v>119</v>
      </c>
      <c r="V6" s="2038"/>
      <c r="W6" s="2052" t="s">
        <v>968</v>
      </c>
      <c r="X6" s="2041"/>
      <c r="Y6" s="2050"/>
    </row>
    <row r="7" spans="2:28" x14ac:dyDescent="0.25">
      <c r="B7" s="2046"/>
      <c r="C7" s="2041"/>
      <c r="D7" s="2041"/>
      <c r="E7" s="2041"/>
      <c r="F7" s="2105"/>
      <c r="G7" s="2041"/>
      <c r="H7" s="2041"/>
      <c r="I7" s="2041"/>
      <c r="J7" s="2052"/>
      <c r="K7" s="1263" t="s">
        <v>9</v>
      </c>
      <c r="L7" s="1503" t="s">
        <v>3107</v>
      </c>
      <c r="M7" s="1263" t="s">
        <v>9</v>
      </c>
      <c r="N7" s="1503" t="s">
        <v>1355</v>
      </c>
      <c r="O7" s="1263" t="s">
        <v>9</v>
      </c>
      <c r="P7" s="1503" t="s">
        <v>1355</v>
      </c>
      <c r="Q7" s="1263" t="s">
        <v>9</v>
      </c>
      <c r="R7" s="1503" t="s">
        <v>1355</v>
      </c>
      <c r="S7" s="1263" t="s">
        <v>9</v>
      </c>
      <c r="T7" s="1503" t="s">
        <v>1355</v>
      </c>
      <c r="U7" s="1263" t="s">
        <v>9</v>
      </c>
      <c r="V7" s="1503" t="s">
        <v>1355</v>
      </c>
      <c r="W7" s="2052"/>
      <c r="X7" s="2041"/>
      <c r="Y7" s="2050"/>
    </row>
    <row r="8" spans="2:28" ht="76.5" x14ac:dyDescent="0.25">
      <c r="B8" s="2011" t="s">
        <v>283</v>
      </c>
      <c r="C8" s="2013" t="s">
        <v>284</v>
      </c>
      <c r="D8" s="2013" t="s">
        <v>3844</v>
      </c>
      <c r="E8" s="2013" t="s">
        <v>3845</v>
      </c>
      <c r="F8" s="673" t="s">
        <v>3812</v>
      </c>
      <c r="G8" s="1473" t="s">
        <v>3840</v>
      </c>
      <c r="H8" s="673"/>
      <c r="I8" s="1473" t="s">
        <v>19</v>
      </c>
      <c r="J8" s="1604">
        <v>1.8195043565402496</v>
      </c>
      <c r="K8" s="1604">
        <v>1.8838525072545322</v>
      </c>
      <c r="L8" s="1238"/>
      <c r="M8" s="1605">
        <v>1.9480892391524027</v>
      </c>
      <c r="N8" s="1238"/>
      <c r="O8" s="1605">
        <v>2.0122148413660486</v>
      </c>
      <c r="P8" s="1238"/>
      <c r="Q8" s="1605">
        <v>2.0762296020281243</v>
      </c>
      <c r="R8" s="1508"/>
      <c r="S8" s="1605">
        <v>2.1401338082760653</v>
      </c>
      <c r="T8" s="1508"/>
      <c r="U8" s="1605">
        <v>2.2039277462563804</v>
      </c>
      <c r="V8" s="1508"/>
      <c r="W8" s="1605">
        <v>2.2039277462563804</v>
      </c>
      <c r="X8" s="1473"/>
      <c r="Y8" s="1257" t="s">
        <v>3855</v>
      </c>
    </row>
    <row r="9" spans="2:28" s="1239" customFormat="1" ht="76.5" x14ac:dyDescent="0.25">
      <c r="B9" s="2012"/>
      <c r="C9" s="2014"/>
      <c r="D9" s="2044"/>
      <c r="E9" s="2044"/>
      <c r="F9" s="675"/>
      <c r="G9" s="1476" t="s">
        <v>3108</v>
      </c>
      <c r="H9" s="933" t="s">
        <v>3843</v>
      </c>
      <c r="I9" s="1475" t="s">
        <v>19</v>
      </c>
      <c r="J9" s="1604">
        <v>1.8195043565402496</v>
      </c>
      <c r="K9" s="1604">
        <v>1.8838525072545322</v>
      </c>
      <c r="L9" s="1606" t="s">
        <v>3854</v>
      </c>
      <c r="M9" s="1604">
        <v>1.9480892391524027</v>
      </c>
      <c r="N9" s="1606" t="s">
        <v>3854</v>
      </c>
      <c r="O9" s="1604">
        <v>2.0122148413660486</v>
      </c>
      <c r="P9" s="1606" t="s">
        <v>3854</v>
      </c>
      <c r="Q9" s="1604">
        <v>2.0762296020281243</v>
      </c>
      <c r="R9" s="1606" t="s">
        <v>3854</v>
      </c>
      <c r="S9" s="1604">
        <v>2.1401338082760653</v>
      </c>
      <c r="T9" s="1606" t="s">
        <v>3854</v>
      </c>
      <c r="U9" s="1604">
        <v>2.2039277462563804</v>
      </c>
      <c r="V9" s="1606" t="s">
        <v>3854</v>
      </c>
      <c r="W9" s="1604">
        <v>2.2039277462563804</v>
      </c>
      <c r="X9" s="1445"/>
      <c r="Y9" s="1257" t="s">
        <v>3855</v>
      </c>
    </row>
    <row r="10" spans="2:28" x14ac:dyDescent="0.25">
      <c r="B10" s="2012"/>
      <c r="C10" s="2014"/>
      <c r="D10" s="673"/>
      <c r="E10" s="673"/>
      <c r="F10" s="673"/>
      <c r="G10" s="1473"/>
      <c r="H10" s="673"/>
      <c r="I10" s="1473"/>
      <c r="J10" s="1263"/>
      <c r="K10" s="1263"/>
      <c r="L10" s="1508"/>
      <c r="M10" s="1263"/>
      <c r="N10" s="1508"/>
      <c r="O10" s="1263"/>
      <c r="P10" s="1508"/>
      <c r="Q10" s="1263"/>
      <c r="R10" s="1508"/>
      <c r="S10" s="1263"/>
      <c r="T10" s="1508"/>
      <c r="U10" s="1263"/>
      <c r="V10" s="1508"/>
      <c r="W10" s="1263"/>
      <c r="X10" s="1473"/>
      <c r="Y10" s="1257"/>
    </row>
    <row r="11" spans="2:28" ht="152.25" customHeight="1" x14ac:dyDescent="0.25">
      <c r="B11" s="2012"/>
      <c r="C11" s="2014"/>
      <c r="D11" s="673" t="s">
        <v>3806</v>
      </c>
      <c r="E11" s="673" t="s">
        <v>3807</v>
      </c>
      <c r="F11" s="673" t="s">
        <v>1349</v>
      </c>
      <c r="G11" s="1473" t="s">
        <v>3167</v>
      </c>
      <c r="H11" s="173"/>
      <c r="I11" s="1473" t="s">
        <v>19</v>
      </c>
      <c r="J11" s="1263">
        <v>12.21</v>
      </c>
      <c r="K11" s="1614">
        <v>12.38</v>
      </c>
      <c r="L11" s="1508"/>
      <c r="M11" s="1614">
        <v>12.54</v>
      </c>
      <c r="N11" s="1508"/>
      <c r="O11" s="1614">
        <v>12.71</v>
      </c>
      <c r="P11" s="1508"/>
      <c r="Q11" s="1614">
        <v>12.87</v>
      </c>
      <c r="R11" s="1508"/>
      <c r="S11" s="1614">
        <v>13.04</v>
      </c>
      <c r="T11" s="1508"/>
      <c r="U11" s="1263">
        <v>13.2</v>
      </c>
      <c r="V11" s="1508"/>
      <c r="W11" s="1263">
        <v>13.2</v>
      </c>
      <c r="X11" s="1473"/>
      <c r="Y11" s="1257" t="s">
        <v>1156</v>
      </c>
    </row>
    <row r="12" spans="2:28" ht="51" x14ac:dyDescent="0.25">
      <c r="B12" s="2012"/>
      <c r="C12" s="674"/>
      <c r="D12" s="173" t="s">
        <v>3847</v>
      </c>
      <c r="E12" s="173" t="s">
        <v>3809</v>
      </c>
      <c r="F12" s="173" t="s">
        <v>3808</v>
      </c>
      <c r="G12" s="1473" t="s">
        <v>3838</v>
      </c>
      <c r="H12" s="173"/>
      <c r="I12" s="1473" t="s">
        <v>19</v>
      </c>
      <c r="J12" s="673">
        <v>6.93</v>
      </c>
      <c r="K12" s="1607">
        <v>6.9749999999999996</v>
      </c>
      <c r="L12" s="885"/>
      <c r="M12" s="1607">
        <v>7.02</v>
      </c>
      <c r="N12" s="885"/>
      <c r="O12" s="1607">
        <v>7.0649999999999995</v>
      </c>
      <c r="P12" s="885"/>
      <c r="Q12" s="1607">
        <v>7.1099999999999994</v>
      </c>
      <c r="R12" s="1447"/>
      <c r="S12" s="1607">
        <v>7.1549999999999994</v>
      </c>
      <c r="T12" s="1508"/>
      <c r="U12" s="1598">
        <v>7.1999999999999993</v>
      </c>
      <c r="V12" s="1508"/>
      <c r="W12" s="1598">
        <v>7.1999999999999993</v>
      </c>
      <c r="X12" s="1473"/>
      <c r="Y12" s="1257" t="s">
        <v>1156</v>
      </c>
    </row>
    <row r="13" spans="2:28" ht="38.25" x14ac:dyDescent="0.25">
      <c r="B13" s="2012"/>
      <c r="C13" s="674"/>
      <c r="D13" s="173" t="s">
        <v>3848</v>
      </c>
      <c r="E13" s="173" t="s">
        <v>3819</v>
      </c>
      <c r="F13" s="173" t="s">
        <v>3811</v>
      </c>
      <c r="G13" s="1473" t="s">
        <v>3839</v>
      </c>
      <c r="H13" s="173"/>
      <c r="I13" s="1473" t="s">
        <v>19</v>
      </c>
      <c r="J13" s="1599">
        <v>99.863333333333344</v>
      </c>
      <c r="K13" s="1600">
        <v>99.873333333333349</v>
      </c>
      <c r="L13" s="885"/>
      <c r="M13" s="1600">
        <v>99.883333333333354</v>
      </c>
      <c r="N13" s="885"/>
      <c r="O13" s="1600">
        <v>99.893333333333359</v>
      </c>
      <c r="P13" s="885"/>
      <c r="Q13" s="1600">
        <v>99.903333333333364</v>
      </c>
      <c r="R13" s="1447"/>
      <c r="S13" s="1600">
        <v>99.91333333333337</v>
      </c>
      <c r="T13" s="1508"/>
      <c r="U13" s="1600">
        <v>99.923333333333375</v>
      </c>
      <c r="V13" s="1508"/>
      <c r="W13" s="1600">
        <v>99.923333333333375</v>
      </c>
      <c r="X13" s="1473"/>
      <c r="Y13" s="1257" t="s">
        <v>1156</v>
      </c>
    </row>
    <row r="14" spans="2:28" ht="89.25" x14ac:dyDescent="0.25">
      <c r="B14" s="229"/>
      <c r="C14" s="674"/>
      <c r="D14" s="173" t="s">
        <v>3820</v>
      </c>
      <c r="E14" s="173" t="s">
        <v>3821</v>
      </c>
      <c r="F14" s="173" t="s">
        <v>3813</v>
      </c>
      <c r="G14" s="1473" t="s">
        <v>3849</v>
      </c>
      <c r="H14" s="173"/>
      <c r="I14" s="1473" t="s">
        <v>3850</v>
      </c>
      <c r="J14" s="1245"/>
      <c r="K14" s="1246" t="s">
        <v>3154</v>
      </c>
      <c r="L14" s="1247"/>
      <c r="M14" s="1246" t="s">
        <v>3154</v>
      </c>
      <c r="N14" s="1247"/>
      <c r="O14" s="1246" t="s">
        <v>3154</v>
      </c>
      <c r="P14" s="1247"/>
      <c r="Q14" s="1246" t="s">
        <v>3154</v>
      </c>
      <c r="R14" s="1247"/>
      <c r="S14" s="1246" t="s">
        <v>3154</v>
      </c>
      <c r="T14" s="1247"/>
      <c r="U14" s="1246" t="s">
        <v>3154</v>
      </c>
      <c r="V14" s="1246"/>
      <c r="W14" s="1246" t="s">
        <v>3154</v>
      </c>
      <c r="X14" s="173"/>
      <c r="Y14" s="1257" t="s">
        <v>1156</v>
      </c>
      <c r="AA14" s="1509"/>
      <c r="AB14" s="1510"/>
    </row>
    <row r="15" spans="2:28" ht="25.5" x14ac:dyDescent="0.25">
      <c r="B15" s="229"/>
      <c r="C15" s="674"/>
      <c r="D15" s="674"/>
      <c r="E15" s="674"/>
      <c r="F15" s="1478"/>
      <c r="G15" s="673" t="s">
        <v>1180</v>
      </c>
      <c r="H15" s="673" t="s">
        <v>1181</v>
      </c>
      <c r="I15" s="1473" t="s">
        <v>19</v>
      </c>
      <c r="J15" s="1733">
        <v>47.073699421965323</v>
      </c>
      <c r="K15" s="1733">
        <v>50.573699421965323</v>
      </c>
      <c r="L15" s="1480">
        <f>SUM(L16:L21)</f>
        <v>9442440</v>
      </c>
      <c r="M15" s="1733">
        <v>54.073699421965323</v>
      </c>
      <c r="N15" s="1480">
        <f>SUM(N16:N21)</f>
        <v>10202744</v>
      </c>
      <c r="O15" s="1733">
        <v>57.573699421965323</v>
      </c>
      <c r="P15" s="1480">
        <f>SUM(P16:P21)</f>
        <v>11318700</v>
      </c>
      <c r="Q15" s="1733">
        <v>61.073699421965323</v>
      </c>
      <c r="R15" s="1480">
        <f>SUM(R16:R21)</f>
        <v>11404750</v>
      </c>
      <c r="S15" s="1733">
        <v>64.57369942196533</v>
      </c>
      <c r="T15" s="1480">
        <f>SUM(T16:T21)</f>
        <v>11486265</v>
      </c>
      <c r="U15" s="1733">
        <v>68.07369942196533</v>
      </c>
      <c r="V15" s="1480">
        <f>SUM(V16:V21)</f>
        <v>11558725.5</v>
      </c>
      <c r="W15" s="843">
        <v>68.07369942196533</v>
      </c>
      <c r="X15" s="1473"/>
      <c r="Y15" s="1257" t="s">
        <v>1156</v>
      </c>
    </row>
    <row r="16" spans="2:28" ht="51" x14ac:dyDescent="0.25">
      <c r="B16" s="229"/>
      <c r="C16" s="674"/>
      <c r="D16" s="674"/>
      <c r="E16" s="674"/>
      <c r="F16" s="1244"/>
      <c r="G16" s="173" t="s">
        <v>1182</v>
      </c>
      <c r="H16" s="1476" t="s">
        <v>1183</v>
      </c>
      <c r="I16" s="1473" t="s">
        <v>282</v>
      </c>
      <c r="J16" s="1245"/>
      <c r="K16" s="1246">
        <v>4</v>
      </c>
      <c r="L16" s="1247">
        <v>200000</v>
      </c>
      <c r="M16" s="168">
        <v>4</v>
      </c>
      <c r="N16" s="1247">
        <v>220000</v>
      </c>
      <c r="O16" s="168">
        <v>4</v>
      </c>
      <c r="P16" s="1247">
        <v>275000</v>
      </c>
      <c r="Q16" s="168">
        <v>4</v>
      </c>
      <c r="R16" s="1247">
        <v>295000</v>
      </c>
      <c r="S16" s="168">
        <v>4</v>
      </c>
      <c r="T16" s="1247">
        <v>315000</v>
      </c>
      <c r="U16" s="168">
        <v>4</v>
      </c>
      <c r="V16" s="1247">
        <v>320000</v>
      </c>
      <c r="W16" s="163"/>
      <c r="X16" s="1473"/>
      <c r="Y16" s="1257" t="s">
        <v>1156</v>
      </c>
    </row>
    <row r="17" spans="2:25" ht="51" x14ac:dyDescent="0.25">
      <c r="B17" s="229"/>
      <c r="C17" s="674"/>
      <c r="D17" s="674"/>
      <c r="E17" s="674"/>
      <c r="F17" s="1244"/>
      <c r="G17" s="173" t="s">
        <v>3665</v>
      </c>
      <c r="H17" s="1476" t="s">
        <v>3666</v>
      </c>
      <c r="I17" s="1473" t="s">
        <v>1193</v>
      </c>
      <c r="J17" s="1246"/>
      <c r="K17" s="1246">
        <v>1328</v>
      </c>
      <c r="L17" s="1247">
        <v>2439400</v>
      </c>
      <c r="M17" s="1246">
        <v>1328</v>
      </c>
      <c r="N17" s="1247">
        <v>2439400</v>
      </c>
      <c r="O17" s="1246">
        <v>1328</v>
      </c>
      <c r="P17" s="1247">
        <v>2439400</v>
      </c>
      <c r="Q17" s="1246">
        <v>1328</v>
      </c>
      <c r="R17" s="1247">
        <v>2439400</v>
      </c>
      <c r="S17" s="1246">
        <v>1328</v>
      </c>
      <c r="T17" s="1247">
        <v>2439400</v>
      </c>
      <c r="U17" s="1246">
        <v>1328</v>
      </c>
      <c r="V17" s="1247">
        <v>2439400</v>
      </c>
      <c r="W17" s="163"/>
      <c r="X17" s="1473"/>
      <c r="Y17" s="1257" t="s">
        <v>1156</v>
      </c>
    </row>
    <row r="18" spans="2:25" ht="51" x14ac:dyDescent="0.25">
      <c r="B18" s="229"/>
      <c r="C18" s="674"/>
      <c r="D18" s="674"/>
      <c r="E18" s="674"/>
      <c r="F18" s="1244"/>
      <c r="G18" s="173" t="s">
        <v>1184</v>
      </c>
      <c r="H18" s="1476" t="s">
        <v>1185</v>
      </c>
      <c r="I18" s="1473" t="s">
        <v>1188</v>
      </c>
      <c r="J18" s="1245"/>
      <c r="K18" s="1246">
        <v>1093</v>
      </c>
      <c r="L18" s="1247">
        <v>50000</v>
      </c>
      <c r="M18" s="1246">
        <v>1093</v>
      </c>
      <c r="N18" s="1247">
        <v>55000</v>
      </c>
      <c r="O18" s="1246">
        <v>1093</v>
      </c>
      <c r="P18" s="1247">
        <v>60500</v>
      </c>
      <c r="Q18" s="1246">
        <v>1093</v>
      </c>
      <c r="R18" s="1247">
        <v>66550</v>
      </c>
      <c r="S18" s="1246">
        <v>1093</v>
      </c>
      <c r="T18" s="1247">
        <v>73205</v>
      </c>
      <c r="U18" s="1246">
        <v>1093</v>
      </c>
      <c r="V18" s="1247">
        <v>80525.5</v>
      </c>
      <c r="W18" s="163"/>
      <c r="X18" s="1473"/>
      <c r="Y18" s="1257" t="s">
        <v>1156</v>
      </c>
    </row>
    <row r="19" spans="2:25" ht="38.25" x14ac:dyDescent="0.25">
      <c r="B19" s="229"/>
      <c r="C19" s="674"/>
      <c r="D19" s="674"/>
      <c r="E19" s="674"/>
      <c r="F19" s="1890"/>
      <c r="G19" s="173" t="s">
        <v>1186</v>
      </c>
      <c r="H19" s="1476" t="s">
        <v>1187</v>
      </c>
      <c r="I19" s="1473" t="s">
        <v>1188</v>
      </c>
      <c r="J19" s="1245"/>
      <c r="K19" s="1247">
        <v>0</v>
      </c>
      <c r="L19" s="1247">
        <v>0</v>
      </c>
      <c r="M19" s="168">
        <v>30</v>
      </c>
      <c r="N19" s="1247">
        <v>60000</v>
      </c>
      <c r="O19" s="168">
        <v>30</v>
      </c>
      <c r="P19" s="1247">
        <v>65000</v>
      </c>
      <c r="Q19" s="168">
        <v>30</v>
      </c>
      <c r="R19" s="1247">
        <v>75000</v>
      </c>
      <c r="S19" s="168">
        <v>30</v>
      </c>
      <c r="T19" s="1247">
        <v>79860</v>
      </c>
      <c r="U19" s="168">
        <v>30</v>
      </c>
      <c r="V19" s="1247">
        <v>90000</v>
      </c>
      <c r="W19" s="163"/>
      <c r="X19" s="1473"/>
      <c r="Y19" s="1257" t="s">
        <v>1156</v>
      </c>
    </row>
    <row r="20" spans="2:25" ht="51" x14ac:dyDescent="0.25">
      <c r="B20" s="229"/>
      <c r="C20" s="674"/>
      <c r="D20" s="674"/>
      <c r="E20" s="674"/>
      <c r="F20" s="1244"/>
      <c r="G20" s="173" t="s">
        <v>1189</v>
      </c>
      <c r="H20" s="1476" t="s">
        <v>1190</v>
      </c>
      <c r="I20" s="1473" t="s">
        <v>1188</v>
      </c>
      <c r="J20" s="1245"/>
      <c r="K20" s="1246">
        <v>1093</v>
      </c>
      <c r="L20" s="1247">
        <v>6503040.0000000009</v>
      </c>
      <c r="M20" s="1246">
        <v>1093</v>
      </c>
      <c r="N20" s="1247">
        <v>7153344.0000000009</v>
      </c>
      <c r="O20" s="1246">
        <v>1093</v>
      </c>
      <c r="P20" s="1247">
        <v>8128800</v>
      </c>
      <c r="Q20" s="1246">
        <v>1093</v>
      </c>
      <c r="R20" s="1247">
        <v>8128800</v>
      </c>
      <c r="S20" s="1246">
        <v>1093</v>
      </c>
      <c r="T20" s="1247">
        <v>8128800</v>
      </c>
      <c r="U20" s="1246">
        <v>1093</v>
      </c>
      <c r="V20" s="1247">
        <v>8128800</v>
      </c>
      <c r="W20" s="163"/>
      <c r="X20" s="1473"/>
      <c r="Y20" s="1257" t="s">
        <v>1156</v>
      </c>
    </row>
    <row r="21" spans="2:25" ht="63.75" x14ac:dyDescent="0.25">
      <c r="B21" s="229"/>
      <c r="C21" s="674"/>
      <c r="D21" s="674"/>
      <c r="E21" s="674"/>
      <c r="F21" s="1244"/>
      <c r="G21" s="173" t="s">
        <v>1191</v>
      </c>
      <c r="H21" s="1476" t="s">
        <v>1192</v>
      </c>
      <c r="I21" s="1473" t="s">
        <v>1193</v>
      </c>
      <c r="J21" s="1245"/>
      <c r="K21" s="1246">
        <v>600</v>
      </c>
      <c r="L21" s="1247">
        <v>250000</v>
      </c>
      <c r="M21" s="168">
        <v>600</v>
      </c>
      <c r="N21" s="1247">
        <v>275000</v>
      </c>
      <c r="O21" s="168">
        <v>650</v>
      </c>
      <c r="P21" s="1247">
        <v>350000</v>
      </c>
      <c r="Q21" s="168">
        <v>650</v>
      </c>
      <c r="R21" s="1247">
        <v>400000</v>
      </c>
      <c r="S21" s="168">
        <v>700</v>
      </c>
      <c r="T21" s="1247">
        <v>450000</v>
      </c>
      <c r="U21" s="168">
        <v>700</v>
      </c>
      <c r="V21" s="1247">
        <v>500000</v>
      </c>
      <c r="W21" s="163"/>
      <c r="X21" s="1473"/>
      <c r="Y21" s="1257" t="s">
        <v>1156</v>
      </c>
    </row>
    <row r="22" spans="2:25" ht="38.25" x14ac:dyDescent="0.25">
      <c r="B22" s="229"/>
      <c r="C22" s="674"/>
      <c r="D22" s="674"/>
      <c r="E22" s="674"/>
      <c r="F22" s="674"/>
      <c r="G22" s="1477" t="s">
        <v>1194</v>
      </c>
      <c r="H22" s="173" t="s">
        <v>1808</v>
      </c>
      <c r="I22" s="1473" t="s">
        <v>19</v>
      </c>
      <c r="J22" s="163">
        <v>21.621621621621621</v>
      </c>
      <c r="K22" s="163">
        <v>25.675675675675674</v>
      </c>
      <c r="L22" s="1247">
        <f>SUM(L23:L35)</f>
        <v>668520</v>
      </c>
      <c r="M22" s="163">
        <v>29.73</v>
      </c>
      <c r="N22" s="1247">
        <f>SUM(N23:N35)</f>
        <v>1002259</v>
      </c>
      <c r="O22" s="163">
        <v>33.78</v>
      </c>
      <c r="P22" s="1247">
        <f>SUM(P23:P35)</f>
        <v>1404903</v>
      </c>
      <c r="Q22" s="163">
        <v>37.840000000000003</v>
      </c>
      <c r="R22" s="1247">
        <f>SUM(R23:R35)</f>
        <v>1493991.69</v>
      </c>
      <c r="S22" s="163">
        <v>40.54</v>
      </c>
      <c r="T22" s="1247">
        <f>SUM(T23:T35)</f>
        <v>1531389.0589999999</v>
      </c>
      <c r="U22" s="163">
        <v>43.24</v>
      </c>
      <c r="V22" s="1247">
        <f>SUM(V23:V35)</f>
        <v>1561529.3648999999</v>
      </c>
      <c r="W22" s="163">
        <f>U22</f>
        <v>43.24</v>
      </c>
      <c r="X22" s="1473"/>
      <c r="Y22" s="1257" t="s">
        <v>1156</v>
      </c>
    </row>
    <row r="23" spans="2:25" ht="38.25" x14ac:dyDescent="0.25">
      <c r="B23" s="229"/>
      <c r="C23" s="674"/>
      <c r="D23" s="674"/>
      <c r="E23" s="674"/>
      <c r="F23" s="674"/>
      <c r="G23" s="173" t="s">
        <v>1195</v>
      </c>
      <c r="H23" s="173" t="s">
        <v>3072</v>
      </c>
      <c r="I23" s="1473" t="s">
        <v>1196</v>
      </c>
      <c r="J23" s="1246">
        <v>4</v>
      </c>
      <c r="K23" s="1246">
        <v>4</v>
      </c>
      <c r="L23" s="1247">
        <v>100000</v>
      </c>
      <c r="M23" s="168">
        <v>4</v>
      </c>
      <c r="N23" s="1247">
        <v>100000</v>
      </c>
      <c r="O23" s="168">
        <v>4</v>
      </c>
      <c r="P23" s="1247">
        <v>100000</v>
      </c>
      <c r="Q23" s="168">
        <v>4</v>
      </c>
      <c r="R23" s="1247">
        <v>100000</v>
      </c>
      <c r="S23" s="168">
        <v>4</v>
      </c>
      <c r="T23" s="1247">
        <v>100000</v>
      </c>
      <c r="U23" s="168">
        <v>4</v>
      </c>
      <c r="V23" s="1247">
        <v>100000</v>
      </c>
      <c r="W23" s="163"/>
      <c r="X23" s="173"/>
      <c r="Y23" s="1257" t="s">
        <v>1156</v>
      </c>
    </row>
    <row r="24" spans="2:25" ht="63.75" x14ac:dyDescent="0.25">
      <c r="B24" s="229"/>
      <c r="C24" s="674"/>
      <c r="D24" s="674"/>
      <c r="E24" s="674"/>
      <c r="F24" s="674"/>
      <c r="G24" s="173" t="s">
        <v>1197</v>
      </c>
      <c r="H24" s="173" t="s">
        <v>3073</v>
      </c>
      <c r="I24" s="1473" t="s">
        <v>3074</v>
      </c>
      <c r="J24" s="1246">
        <v>2</v>
      </c>
      <c r="K24" s="1246">
        <v>1</v>
      </c>
      <c r="L24" s="1247">
        <v>20000</v>
      </c>
      <c r="M24" s="168">
        <v>2</v>
      </c>
      <c r="N24" s="1247">
        <v>38889</v>
      </c>
      <c r="O24" s="168">
        <v>2</v>
      </c>
      <c r="P24" s="1247">
        <v>42778</v>
      </c>
      <c r="Q24" s="168">
        <v>2</v>
      </c>
      <c r="R24" s="1247">
        <v>47055.69</v>
      </c>
      <c r="S24" s="168">
        <v>2</v>
      </c>
      <c r="T24" s="1247">
        <v>51761.258999999998</v>
      </c>
      <c r="U24" s="168">
        <v>2</v>
      </c>
      <c r="V24" s="1247">
        <v>56937.384899999997</v>
      </c>
      <c r="W24" s="163"/>
      <c r="X24" s="173"/>
      <c r="Y24" s="1257" t="s">
        <v>1156</v>
      </c>
    </row>
    <row r="25" spans="2:25" ht="38.25" x14ac:dyDescent="0.25">
      <c r="B25" s="229"/>
      <c r="C25" s="674"/>
      <c r="D25" s="674"/>
      <c r="E25" s="674"/>
      <c r="F25" s="674"/>
      <c r="G25" s="173" t="s">
        <v>1201</v>
      </c>
      <c r="H25" s="173" t="s">
        <v>3075</v>
      </c>
      <c r="I25" s="1473" t="s">
        <v>3076</v>
      </c>
      <c r="J25" s="1246">
        <v>1</v>
      </c>
      <c r="K25" s="1246">
        <v>1</v>
      </c>
      <c r="L25" s="1247">
        <v>12500</v>
      </c>
      <c r="M25" s="168">
        <v>1</v>
      </c>
      <c r="N25" s="1247">
        <v>13750</v>
      </c>
      <c r="O25" s="168">
        <v>1</v>
      </c>
      <c r="P25" s="1247">
        <v>15125</v>
      </c>
      <c r="Q25" s="168">
        <v>1</v>
      </c>
      <c r="R25" s="1247">
        <v>16638</v>
      </c>
      <c r="S25" s="168">
        <v>1</v>
      </c>
      <c r="T25" s="1247">
        <v>18300</v>
      </c>
      <c r="U25" s="168">
        <v>1</v>
      </c>
      <c r="V25" s="1247">
        <v>20131.400000000001</v>
      </c>
      <c r="W25" s="163"/>
      <c r="X25" s="173"/>
      <c r="Y25" s="1257" t="s">
        <v>1156</v>
      </c>
    </row>
    <row r="26" spans="2:25" ht="38.25" x14ac:dyDescent="0.25">
      <c r="B26" s="229"/>
      <c r="C26" s="674"/>
      <c r="D26" s="674"/>
      <c r="E26" s="674"/>
      <c r="F26" s="674"/>
      <c r="G26" s="173" t="s">
        <v>1198</v>
      </c>
      <c r="H26" s="173" t="s">
        <v>3077</v>
      </c>
      <c r="I26" s="1473" t="s">
        <v>1188</v>
      </c>
      <c r="J26" s="1246">
        <v>2</v>
      </c>
      <c r="K26" s="1246">
        <v>2</v>
      </c>
      <c r="L26" s="1247">
        <v>20000</v>
      </c>
      <c r="M26" s="168">
        <v>2</v>
      </c>
      <c r="N26" s="1247">
        <v>20000</v>
      </c>
      <c r="O26" s="168">
        <v>2</v>
      </c>
      <c r="P26" s="1247">
        <v>20000</v>
      </c>
      <c r="Q26" s="168">
        <v>2</v>
      </c>
      <c r="R26" s="1247">
        <v>20000</v>
      </c>
      <c r="S26" s="168">
        <v>2</v>
      </c>
      <c r="T26" s="1247">
        <v>30000</v>
      </c>
      <c r="U26" s="168">
        <v>2</v>
      </c>
      <c r="V26" s="1247">
        <v>30000</v>
      </c>
      <c r="W26" s="163"/>
      <c r="X26" s="173"/>
      <c r="Y26" s="1257" t="s">
        <v>1156</v>
      </c>
    </row>
    <row r="27" spans="2:25" ht="38.25" x14ac:dyDescent="0.25">
      <c r="B27" s="229"/>
      <c r="C27" s="674"/>
      <c r="D27" s="674"/>
      <c r="E27" s="674"/>
      <c r="F27" s="674"/>
      <c r="G27" s="173" t="s">
        <v>1199</v>
      </c>
      <c r="H27" s="173" t="s">
        <v>3078</v>
      </c>
      <c r="I27" s="1473" t="s">
        <v>2558</v>
      </c>
      <c r="J27" s="1246">
        <v>4</v>
      </c>
      <c r="K27" s="1246">
        <v>4</v>
      </c>
      <c r="L27" s="1247">
        <v>36500</v>
      </c>
      <c r="M27" s="168">
        <v>4</v>
      </c>
      <c r="N27" s="1247">
        <v>40150</v>
      </c>
      <c r="O27" s="168">
        <v>4</v>
      </c>
      <c r="P27" s="1247">
        <v>44165</v>
      </c>
      <c r="Q27" s="168">
        <v>4</v>
      </c>
      <c r="R27" s="1247">
        <v>48581.5</v>
      </c>
      <c r="S27" s="168">
        <v>4</v>
      </c>
      <c r="T27" s="1247">
        <v>53439.65</v>
      </c>
      <c r="U27" s="168">
        <v>4</v>
      </c>
      <c r="V27" s="1247">
        <v>58783.615000000005</v>
      </c>
      <c r="W27" s="163"/>
      <c r="X27" s="173"/>
      <c r="Y27" s="1257" t="s">
        <v>1156</v>
      </c>
    </row>
    <row r="28" spans="2:25" ht="38.25" x14ac:dyDescent="0.25">
      <c r="B28" s="229"/>
      <c r="C28" s="674"/>
      <c r="D28" s="674"/>
      <c r="E28" s="674"/>
      <c r="F28" s="674"/>
      <c r="G28" s="173" t="s">
        <v>1200</v>
      </c>
      <c r="H28" s="173" t="s">
        <v>3079</v>
      </c>
      <c r="I28" s="1473" t="s">
        <v>2558</v>
      </c>
      <c r="J28" s="1246">
        <v>4</v>
      </c>
      <c r="K28" s="1246">
        <v>4</v>
      </c>
      <c r="L28" s="1247">
        <v>36500</v>
      </c>
      <c r="M28" s="168">
        <v>4</v>
      </c>
      <c r="N28" s="1247">
        <v>40150</v>
      </c>
      <c r="O28" s="168">
        <v>4</v>
      </c>
      <c r="P28" s="1247">
        <v>44165</v>
      </c>
      <c r="Q28" s="168">
        <v>4</v>
      </c>
      <c r="R28" s="1247">
        <v>48581.5</v>
      </c>
      <c r="S28" s="168">
        <v>4</v>
      </c>
      <c r="T28" s="1247">
        <v>53439.65</v>
      </c>
      <c r="U28" s="168">
        <v>4</v>
      </c>
      <c r="V28" s="1247">
        <v>58783.615000000005</v>
      </c>
      <c r="W28" s="163"/>
      <c r="X28" s="173"/>
      <c r="Y28" s="1257" t="s">
        <v>1156</v>
      </c>
    </row>
    <row r="29" spans="2:25" ht="63.75" x14ac:dyDescent="0.25">
      <c r="B29" s="229"/>
      <c r="C29" s="674"/>
      <c r="D29" s="674"/>
      <c r="E29" s="674"/>
      <c r="F29" s="674"/>
      <c r="G29" s="173" t="s">
        <v>1202</v>
      </c>
      <c r="H29" s="173" t="s">
        <v>3080</v>
      </c>
      <c r="I29" s="1473" t="s">
        <v>3081</v>
      </c>
      <c r="J29" s="1246">
        <v>15</v>
      </c>
      <c r="K29" s="1246">
        <v>15</v>
      </c>
      <c r="L29" s="1247">
        <v>25000</v>
      </c>
      <c r="M29" s="168">
        <v>15</v>
      </c>
      <c r="N29" s="1247">
        <v>27500</v>
      </c>
      <c r="O29" s="168">
        <v>15</v>
      </c>
      <c r="P29" s="1247">
        <v>30250</v>
      </c>
      <c r="Q29" s="168">
        <v>15</v>
      </c>
      <c r="R29" s="1247">
        <v>33275</v>
      </c>
      <c r="S29" s="168">
        <v>15</v>
      </c>
      <c r="T29" s="1247">
        <v>36602.5</v>
      </c>
      <c r="U29" s="168">
        <v>15</v>
      </c>
      <c r="V29" s="1247">
        <v>40262.75</v>
      </c>
      <c r="W29" s="163"/>
      <c r="X29" s="173"/>
      <c r="Y29" s="1257" t="s">
        <v>1156</v>
      </c>
    </row>
    <row r="30" spans="2:25" ht="51" x14ac:dyDescent="0.25">
      <c r="B30" s="229"/>
      <c r="C30" s="674"/>
      <c r="D30" s="674"/>
      <c r="E30" s="674"/>
      <c r="F30" s="674"/>
      <c r="G30" s="173" t="s">
        <v>1203</v>
      </c>
      <c r="H30" s="173" t="s">
        <v>3082</v>
      </c>
      <c r="I30" s="1473" t="s">
        <v>275</v>
      </c>
      <c r="J30" s="1246">
        <v>1</v>
      </c>
      <c r="K30" s="1246">
        <f>3/15*100</f>
        <v>20</v>
      </c>
      <c r="L30" s="1247">
        <v>30000</v>
      </c>
      <c r="M30" s="168">
        <f t="shared" ref="M30:U31" si="0">3/15*100</f>
        <v>20</v>
      </c>
      <c r="N30" s="1247">
        <v>33000</v>
      </c>
      <c r="O30" s="168">
        <f t="shared" si="0"/>
        <v>20</v>
      </c>
      <c r="P30" s="1247">
        <v>36300</v>
      </c>
      <c r="Q30" s="168">
        <f t="shared" si="0"/>
        <v>20</v>
      </c>
      <c r="R30" s="1247">
        <v>39930</v>
      </c>
      <c r="S30" s="168">
        <f t="shared" si="0"/>
        <v>20</v>
      </c>
      <c r="T30" s="1247">
        <v>43923</v>
      </c>
      <c r="U30" s="168">
        <f t="shared" si="0"/>
        <v>20</v>
      </c>
      <c r="V30" s="1247">
        <v>48315.3</v>
      </c>
      <c r="W30" s="163"/>
      <c r="X30" s="173"/>
      <c r="Y30" s="1257" t="s">
        <v>1156</v>
      </c>
    </row>
    <row r="31" spans="2:25" ht="76.5" x14ac:dyDescent="0.25">
      <c r="B31" s="229"/>
      <c r="C31" s="674"/>
      <c r="D31" s="674"/>
      <c r="E31" s="674"/>
      <c r="F31" s="674"/>
      <c r="G31" s="173" t="s">
        <v>1204</v>
      </c>
      <c r="H31" s="173" t="s">
        <v>3083</v>
      </c>
      <c r="I31" s="1473" t="s">
        <v>275</v>
      </c>
      <c r="J31" s="1246">
        <v>2</v>
      </c>
      <c r="K31" s="1246">
        <f>3/15*100</f>
        <v>20</v>
      </c>
      <c r="L31" s="1247">
        <v>30000</v>
      </c>
      <c r="M31" s="168">
        <f t="shared" si="0"/>
        <v>20</v>
      </c>
      <c r="N31" s="1247">
        <v>33000</v>
      </c>
      <c r="O31" s="168">
        <f t="shared" si="0"/>
        <v>20</v>
      </c>
      <c r="P31" s="1247">
        <v>36300</v>
      </c>
      <c r="Q31" s="168">
        <f t="shared" si="0"/>
        <v>20</v>
      </c>
      <c r="R31" s="1247">
        <v>39930</v>
      </c>
      <c r="S31" s="168">
        <f t="shared" si="0"/>
        <v>20</v>
      </c>
      <c r="T31" s="1247">
        <v>43923</v>
      </c>
      <c r="U31" s="168">
        <f t="shared" si="0"/>
        <v>20</v>
      </c>
      <c r="V31" s="1247">
        <v>48315.3</v>
      </c>
      <c r="W31" s="163"/>
      <c r="X31" s="173"/>
      <c r="Y31" s="1257" t="s">
        <v>1156</v>
      </c>
    </row>
    <row r="32" spans="2:25" ht="38.25" x14ac:dyDescent="0.25">
      <c r="B32" s="229"/>
      <c r="C32" s="674"/>
      <c r="D32" s="674"/>
      <c r="E32" s="674"/>
      <c r="F32" s="674"/>
      <c r="G32" s="173" t="s">
        <v>1205</v>
      </c>
      <c r="H32" s="173" t="s">
        <v>3084</v>
      </c>
      <c r="I32" s="1473" t="s">
        <v>97</v>
      </c>
      <c r="J32" s="1246">
        <v>1</v>
      </c>
      <c r="K32" s="1246">
        <v>1</v>
      </c>
      <c r="L32" s="1247">
        <v>150000</v>
      </c>
      <c r="M32" s="168">
        <v>1</v>
      </c>
      <c r="N32" s="1247">
        <v>165000</v>
      </c>
      <c r="O32" s="168">
        <v>1</v>
      </c>
      <c r="P32" s="1247">
        <v>150000</v>
      </c>
      <c r="Q32" s="168">
        <v>1</v>
      </c>
      <c r="R32" s="1247">
        <v>150000</v>
      </c>
      <c r="S32" s="168">
        <v>1</v>
      </c>
      <c r="T32" s="1247">
        <v>150000</v>
      </c>
      <c r="U32" s="168">
        <v>1</v>
      </c>
      <c r="V32" s="1247">
        <v>150000</v>
      </c>
      <c r="W32" s="163"/>
      <c r="X32" s="173"/>
      <c r="Y32" s="1257" t="s">
        <v>1156</v>
      </c>
    </row>
    <row r="33" spans="2:25" ht="38.25" x14ac:dyDescent="0.25">
      <c r="B33" s="229"/>
      <c r="C33" s="674"/>
      <c r="D33" s="674"/>
      <c r="E33" s="674"/>
      <c r="F33" s="674"/>
      <c r="G33" s="173" t="s">
        <v>1206</v>
      </c>
      <c r="H33" s="173" t="s">
        <v>3085</v>
      </c>
      <c r="I33" s="1473" t="s">
        <v>100</v>
      </c>
      <c r="J33" s="1246">
        <v>50</v>
      </c>
      <c r="K33" s="1246">
        <f t="shared" ref="K33:U33" si="1">50/250*100</f>
        <v>20</v>
      </c>
      <c r="L33" s="1247">
        <v>50000</v>
      </c>
      <c r="M33" s="168">
        <f t="shared" si="1"/>
        <v>20</v>
      </c>
      <c r="N33" s="1247">
        <v>55000</v>
      </c>
      <c r="O33" s="168">
        <f t="shared" si="1"/>
        <v>20</v>
      </c>
      <c r="P33" s="1247">
        <v>50000</v>
      </c>
      <c r="Q33" s="168">
        <f t="shared" si="1"/>
        <v>20</v>
      </c>
      <c r="R33" s="1247">
        <v>50000</v>
      </c>
      <c r="S33" s="168">
        <f t="shared" si="1"/>
        <v>20</v>
      </c>
      <c r="T33" s="1247">
        <v>50000</v>
      </c>
      <c r="U33" s="168">
        <f t="shared" si="1"/>
        <v>20</v>
      </c>
      <c r="V33" s="1247">
        <v>50000</v>
      </c>
      <c r="W33" s="163"/>
      <c r="X33" s="173"/>
      <c r="Y33" s="1257" t="s">
        <v>1156</v>
      </c>
    </row>
    <row r="34" spans="2:25" ht="89.25" x14ac:dyDescent="0.25">
      <c r="B34" s="229"/>
      <c r="C34" s="674"/>
      <c r="D34" s="674"/>
      <c r="E34" s="674"/>
      <c r="F34" s="674"/>
      <c r="G34" s="173" t="s">
        <v>1207</v>
      </c>
      <c r="H34" s="173" t="s">
        <v>3086</v>
      </c>
      <c r="I34" s="1473" t="s">
        <v>275</v>
      </c>
      <c r="J34" s="1246">
        <v>1</v>
      </c>
      <c r="K34" s="1246">
        <v>1</v>
      </c>
      <c r="L34" s="1247">
        <v>0</v>
      </c>
      <c r="M34" s="168">
        <v>1</v>
      </c>
      <c r="N34" s="1247">
        <v>0</v>
      </c>
      <c r="O34" s="168">
        <v>1</v>
      </c>
      <c r="P34" s="1247">
        <v>400000</v>
      </c>
      <c r="Q34" s="168">
        <v>1</v>
      </c>
      <c r="R34" s="1247">
        <v>450000</v>
      </c>
      <c r="S34" s="168">
        <v>1</v>
      </c>
      <c r="T34" s="1247">
        <v>450000</v>
      </c>
      <c r="U34" s="168">
        <v>1</v>
      </c>
      <c r="V34" s="1247">
        <v>450000</v>
      </c>
      <c r="W34" s="163"/>
      <c r="X34" s="173"/>
      <c r="Y34" s="1257" t="s">
        <v>1156</v>
      </c>
    </row>
    <row r="35" spans="2:25" ht="51" x14ac:dyDescent="0.25">
      <c r="B35" s="229"/>
      <c r="C35" s="674"/>
      <c r="D35" s="674"/>
      <c r="E35" s="674"/>
      <c r="F35" s="674"/>
      <c r="G35" s="173" t="s">
        <v>1208</v>
      </c>
      <c r="H35" s="173" t="s">
        <v>3087</v>
      </c>
      <c r="I35" s="1473" t="s">
        <v>275</v>
      </c>
      <c r="J35" s="1246">
        <v>1</v>
      </c>
      <c r="K35" s="1246">
        <v>1</v>
      </c>
      <c r="L35" s="1247">
        <v>158020</v>
      </c>
      <c r="M35" s="168">
        <v>1</v>
      </c>
      <c r="N35" s="1247">
        <v>435820</v>
      </c>
      <c r="O35" s="168">
        <v>1</v>
      </c>
      <c r="P35" s="1247">
        <v>435820</v>
      </c>
      <c r="Q35" s="168">
        <v>1</v>
      </c>
      <c r="R35" s="1247">
        <v>450000</v>
      </c>
      <c r="S35" s="168">
        <v>1</v>
      </c>
      <c r="T35" s="1247">
        <v>450000</v>
      </c>
      <c r="U35" s="168">
        <v>1</v>
      </c>
      <c r="V35" s="1247">
        <v>450000</v>
      </c>
      <c r="W35" s="163"/>
      <c r="X35" s="173"/>
      <c r="Y35" s="1257" t="s">
        <v>1156</v>
      </c>
    </row>
    <row r="36" spans="2:25" ht="38.25" x14ac:dyDescent="0.25">
      <c r="B36" s="229"/>
      <c r="C36" s="674"/>
      <c r="D36" s="674"/>
      <c r="E36" s="674"/>
      <c r="F36" s="1478"/>
      <c r="G36" s="1477" t="s">
        <v>1209</v>
      </c>
      <c r="H36" s="1476" t="s">
        <v>1210</v>
      </c>
      <c r="I36" s="1473" t="s">
        <v>19</v>
      </c>
      <c r="J36" s="1623">
        <v>103.61890868020424</v>
      </c>
      <c r="K36" s="1623">
        <v>102.62</v>
      </c>
      <c r="L36" s="1503">
        <f>SUM(L38:L56)</f>
        <v>8386824</v>
      </c>
      <c r="M36" s="1623">
        <v>102.92</v>
      </c>
      <c r="N36" s="1503">
        <f>SUM(N38:N56)</f>
        <v>9237724</v>
      </c>
      <c r="O36" s="1623">
        <v>103.22</v>
      </c>
      <c r="P36" s="1503">
        <f>SUM(P38:P56)</f>
        <v>10583476</v>
      </c>
      <c r="Q36" s="1623">
        <v>103.42</v>
      </c>
      <c r="R36" s="1503">
        <f>SUM(R38:R56)</f>
        <v>10807336</v>
      </c>
      <c r="S36" s="1623">
        <v>103.72</v>
      </c>
      <c r="T36" s="1503">
        <f>SUM(T38:T56)</f>
        <v>11023632</v>
      </c>
      <c r="U36" s="1623">
        <v>104.02</v>
      </c>
      <c r="V36" s="1503">
        <f>SUM(V38:V56)</f>
        <v>11067057.600000001</v>
      </c>
      <c r="W36" s="1623">
        <v>104.02</v>
      </c>
      <c r="X36" s="1473"/>
      <c r="Y36" s="1257" t="s">
        <v>1156</v>
      </c>
    </row>
    <row r="37" spans="2:25" x14ac:dyDescent="0.25">
      <c r="B37" s="229"/>
      <c r="C37" s="674"/>
      <c r="D37" s="674"/>
      <c r="E37" s="674"/>
      <c r="F37" s="1478"/>
      <c r="G37" s="674"/>
      <c r="H37" s="1476" t="s">
        <v>3667</v>
      </c>
      <c r="I37" s="1473" t="s">
        <v>19</v>
      </c>
      <c r="J37" s="1623">
        <v>99.83867214767703</v>
      </c>
      <c r="K37" s="1623">
        <v>100.03867214767703</v>
      </c>
      <c r="L37" s="1475"/>
      <c r="M37" s="1623">
        <v>100.23867214767704</v>
      </c>
      <c r="N37" s="1475"/>
      <c r="O37" s="1623">
        <v>100.43867214767704</v>
      </c>
      <c r="P37" s="1475"/>
      <c r="Q37" s="1623">
        <v>100.63867214767704</v>
      </c>
      <c r="R37" s="1475"/>
      <c r="S37" s="1623">
        <v>100.83867214767704</v>
      </c>
      <c r="T37" s="1475"/>
      <c r="U37" s="1623">
        <v>101.03867214767705</v>
      </c>
      <c r="V37" s="1475"/>
      <c r="W37" s="1623">
        <v>101.03867214767705</v>
      </c>
      <c r="X37" s="1473"/>
      <c r="Y37" s="1257" t="s">
        <v>1156</v>
      </c>
    </row>
    <row r="38" spans="2:25" ht="76.5" x14ac:dyDescent="0.25">
      <c r="B38" s="229"/>
      <c r="C38" s="674"/>
      <c r="D38" s="674"/>
      <c r="E38" s="674"/>
      <c r="F38" s="1244"/>
      <c r="G38" s="173" t="s">
        <v>1212</v>
      </c>
      <c r="H38" s="1476" t="s">
        <v>1213</v>
      </c>
      <c r="I38" s="1473" t="s">
        <v>19</v>
      </c>
      <c r="J38" s="163"/>
      <c r="K38" s="163">
        <v>1</v>
      </c>
      <c r="L38" s="168">
        <v>155000</v>
      </c>
      <c r="M38" s="163">
        <v>1</v>
      </c>
      <c r="N38" s="168">
        <v>254900</v>
      </c>
      <c r="O38" s="163">
        <v>1</v>
      </c>
      <c r="P38" s="168">
        <v>280500</v>
      </c>
      <c r="Q38" s="163">
        <v>1</v>
      </c>
      <c r="R38" s="168">
        <v>320000</v>
      </c>
      <c r="S38" s="163">
        <v>1</v>
      </c>
      <c r="T38" s="168">
        <v>350000</v>
      </c>
      <c r="U38" s="163">
        <v>1</v>
      </c>
      <c r="V38" s="168">
        <v>350000</v>
      </c>
      <c r="W38" s="163"/>
      <c r="X38" s="1473"/>
      <c r="Y38" s="1257" t="s">
        <v>1156</v>
      </c>
    </row>
    <row r="39" spans="2:25" ht="38.25" x14ac:dyDescent="0.25">
      <c r="B39" s="229"/>
      <c r="C39" s="674"/>
      <c r="D39" s="674"/>
      <c r="E39" s="674"/>
      <c r="F39" s="1244"/>
      <c r="G39" s="173"/>
      <c r="H39" s="1476" t="s">
        <v>1214</v>
      </c>
      <c r="I39" s="1473" t="s">
        <v>1215</v>
      </c>
      <c r="J39" s="1245"/>
      <c r="K39" s="1245">
        <f>805+112</f>
        <v>917</v>
      </c>
      <c r="L39" s="1247">
        <v>0</v>
      </c>
      <c r="M39" s="163">
        <f>805+112</f>
        <v>917</v>
      </c>
      <c r="N39" s="1247">
        <v>0</v>
      </c>
      <c r="O39" s="163">
        <f>805+112</f>
        <v>917</v>
      </c>
      <c r="P39" s="1247">
        <v>0</v>
      </c>
      <c r="Q39" s="163">
        <v>917</v>
      </c>
      <c r="R39" s="1247">
        <v>0</v>
      </c>
      <c r="S39" s="163">
        <v>917</v>
      </c>
      <c r="T39" s="1247">
        <v>0</v>
      </c>
      <c r="U39" s="163">
        <v>917</v>
      </c>
      <c r="V39" s="1247">
        <v>0</v>
      </c>
      <c r="W39" s="163"/>
      <c r="X39" s="1473"/>
      <c r="Y39" s="1257" t="s">
        <v>1156</v>
      </c>
    </row>
    <row r="40" spans="2:25" ht="63.75" x14ac:dyDescent="0.25">
      <c r="B40" s="229"/>
      <c r="C40" s="674"/>
      <c r="D40" s="674"/>
      <c r="E40" s="674"/>
      <c r="F40" s="1244"/>
      <c r="G40" s="173" t="s">
        <v>1216</v>
      </c>
      <c r="H40" s="1476" t="s">
        <v>1217</v>
      </c>
      <c r="I40" s="1473" t="s">
        <v>1211</v>
      </c>
      <c r="J40" s="1245"/>
      <c r="K40" s="1248">
        <f>20+5</f>
        <v>25</v>
      </c>
      <c r="L40" s="1247">
        <v>60000</v>
      </c>
      <c r="M40" s="163">
        <f>20+5</f>
        <v>25</v>
      </c>
      <c r="N40" s="1247">
        <v>260000</v>
      </c>
      <c r="O40" s="163">
        <f>25+10</f>
        <v>35</v>
      </c>
      <c r="P40" s="1247">
        <v>275000</v>
      </c>
      <c r="Q40" s="163">
        <v>35</v>
      </c>
      <c r="R40" s="1247">
        <v>285000</v>
      </c>
      <c r="S40" s="163">
        <v>45</v>
      </c>
      <c r="T40" s="1247">
        <v>320000</v>
      </c>
      <c r="U40" s="163">
        <v>45</v>
      </c>
      <c r="V40" s="1247">
        <v>320000</v>
      </c>
      <c r="W40" s="163"/>
      <c r="X40" s="1473"/>
      <c r="Y40" s="1257" t="s">
        <v>1156</v>
      </c>
    </row>
    <row r="41" spans="2:25" ht="51" x14ac:dyDescent="0.25">
      <c r="B41" s="229"/>
      <c r="C41" s="674"/>
      <c r="D41" s="674"/>
      <c r="E41" s="674"/>
      <c r="F41" s="1244"/>
      <c r="G41" s="173" t="s">
        <v>1218</v>
      </c>
      <c r="H41" s="1476" t="s">
        <v>1219</v>
      </c>
      <c r="I41" s="1473" t="s">
        <v>19</v>
      </c>
      <c r="J41" s="1245"/>
      <c r="K41" s="1245">
        <v>100</v>
      </c>
      <c r="L41" s="1247">
        <v>50000</v>
      </c>
      <c r="M41" s="163">
        <v>100</v>
      </c>
      <c r="N41" s="1247">
        <v>55000</v>
      </c>
      <c r="O41" s="163">
        <v>100</v>
      </c>
      <c r="P41" s="1247">
        <v>60000</v>
      </c>
      <c r="Q41" s="163">
        <v>100</v>
      </c>
      <c r="R41" s="1247">
        <v>70000</v>
      </c>
      <c r="S41" s="163">
        <v>100</v>
      </c>
      <c r="T41" s="1247">
        <v>80000</v>
      </c>
      <c r="U41" s="163">
        <v>100</v>
      </c>
      <c r="V41" s="1247">
        <v>80000</v>
      </c>
      <c r="W41" s="163"/>
      <c r="X41" s="1473"/>
      <c r="Y41" s="1257" t="s">
        <v>1156</v>
      </c>
    </row>
    <row r="42" spans="2:25" ht="51" x14ac:dyDescent="0.25">
      <c r="B42" s="229"/>
      <c r="C42" s="674"/>
      <c r="D42" s="674"/>
      <c r="E42" s="674"/>
      <c r="F42" s="1244"/>
      <c r="G42" s="173"/>
      <c r="H42" s="1476" t="s">
        <v>1220</v>
      </c>
      <c r="I42" s="1473" t="s">
        <v>1211</v>
      </c>
      <c r="J42" s="1245"/>
      <c r="K42" s="1246">
        <f>802+112</f>
        <v>914</v>
      </c>
      <c r="L42" s="1247">
        <v>0</v>
      </c>
      <c r="M42" s="168">
        <f>802+112</f>
        <v>914</v>
      </c>
      <c r="N42" s="1247">
        <v>0</v>
      </c>
      <c r="O42" s="168">
        <f>802+112</f>
        <v>914</v>
      </c>
      <c r="P42" s="1247">
        <v>0</v>
      </c>
      <c r="Q42" s="168">
        <v>914</v>
      </c>
      <c r="R42" s="1247">
        <v>0</v>
      </c>
      <c r="S42" s="168">
        <v>914</v>
      </c>
      <c r="T42" s="1247">
        <v>0</v>
      </c>
      <c r="U42" s="168">
        <v>914</v>
      </c>
      <c r="V42" s="1247">
        <v>0</v>
      </c>
      <c r="W42" s="163"/>
      <c r="X42" s="1473"/>
      <c r="Y42" s="1257" t="s">
        <v>1156</v>
      </c>
    </row>
    <row r="43" spans="2:25" ht="38.25" x14ac:dyDescent="0.25">
      <c r="B43" s="229"/>
      <c r="C43" s="674"/>
      <c r="D43" s="674"/>
      <c r="E43" s="674"/>
      <c r="F43" s="1244"/>
      <c r="G43" s="173" t="s">
        <v>1221</v>
      </c>
      <c r="H43" s="1476" t="s">
        <v>1222</v>
      </c>
      <c r="I43" s="1473" t="s">
        <v>19</v>
      </c>
      <c r="J43" s="1245"/>
      <c r="K43" s="1245">
        <v>100</v>
      </c>
      <c r="L43" s="1247">
        <v>401000</v>
      </c>
      <c r="M43" s="163">
        <v>100</v>
      </c>
      <c r="N43" s="1247">
        <v>441100</v>
      </c>
      <c r="O43" s="163">
        <v>100</v>
      </c>
      <c r="P43" s="1247">
        <v>420000</v>
      </c>
      <c r="Q43" s="163">
        <v>100</v>
      </c>
      <c r="R43" s="1247">
        <v>440000</v>
      </c>
      <c r="S43" s="163">
        <v>100</v>
      </c>
      <c r="T43" s="1247">
        <v>450000</v>
      </c>
      <c r="U43" s="163">
        <v>100</v>
      </c>
      <c r="V43" s="1247">
        <v>460000</v>
      </c>
      <c r="W43" s="163"/>
      <c r="X43" s="1473"/>
      <c r="Y43" s="1257" t="s">
        <v>1156</v>
      </c>
    </row>
    <row r="44" spans="2:25" ht="51" x14ac:dyDescent="0.25">
      <c r="B44" s="229"/>
      <c r="C44" s="674"/>
      <c r="D44" s="674"/>
      <c r="E44" s="674"/>
      <c r="F44" s="1244"/>
      <c r="G44" s="173"/>
      <c r="H44" s="1476" t="s">
        <v>1223</v>
      </c>
      <c r="I44" s="1473" t="s">
        <v>1211</v>
      </c>
      <c r="J44" s="1245"/>
      <c r="K44" s="1246">
        <f>802+105+4+112+78+3</f>
        <v>1104</v>
      </c>
      <c r="L44" s="1247">
        <v>0</v>
      </c>
      <c r="M44" s="168">
        <f>802+105+4+112+78+3</f>
        <v>1104</v>
      </c>
      <c r="N44" s="1247">
        <v>0</v>
      </c>
      <c r="O44" s="168">
        <f>802+105+4+112+78+3</f>
        <v>1104</v>
      </c>
      <c r="P44" s="1247">
        <v>0</v>
      </c>
      <c r="Q44" s="168">
        <v>1104</v>
      </c>
      <c r="R44" s="1247">
        <v>0</v>
      </c>
      <c r="S44" s="168">
        <v>1104</v>
      </c>
      <c r="T44" s="1247">
        <v>0</v>
      </c>
      <c r="U44" s="168">
        <v>1104</v>
      </c>
      <c r="V44" s="1247">
        <v>0</v>
      </c>
      <c r="W44" s="163"/>
      <c r="X44" s="1473"/>
      <c r="Y44" s="1257" t="s">
        <v>1156</v>
      </c>
    </row>
    <row r="45" spans="2:25" ht="76.5" x14ac:dyDescent="0.25">
      <c r="B45" s="229"/>
      <c r="C45" s="674"/>
      <c r="D45" s="674"/>
      <c r="E45" s="674"/>
      <c r="F45" s="1244"/>
      <c r="G45" s="173" t="s">
        <v>1224</v>
      </c>
      <c r="H45" s="1476" t="s">
        <v>1225</v>
      </c>
      <c r="I45" s="1473" t="s">
        <v>69</v>
      </c>
      <c r="J45" s="1245"/>
      <c r="K45" s="1246">
        <v>1</v>
      </c>
      <c r="L45" s="1247">
        <v>10000</v>
      </c>
      <c r="M45" s="168">
        <v>1</v>
      </c>
      <c r="N45" s="1247">
        <v>11000</v>
      </c>
      <c r="O45" s="168">
        <v>1</v>
      </c>
      <c r="P45" s="1247">
        <v>10000</v>
      </c>
      <c r="Q45" s="168">
        <v>1</v>
      </c>
      <c r="R45" s="1247">
        <v>10000</v>
      </c>
      <c r="S45" s="168">
        <v>1</v>
      </c>
      <c r="T45" s="1247">
        <v>10000</v>
      </c>
      <c r="U45" s="168">
        <v>1</v>
      </c>
      <c r="V45" s="1247">
        <v>10000</v>
      </c>
      <c r="W45" s="163"/>
      <c r="X45" s="1473"/>
      <c r="Y45" s="1257" t="s">
        <v>1156</v>
      </c>
    </row>
    <row r="46" spans="2:25" ht="51" x14ac:dyDescent="0.25">
      <c r="B46" s="229"/>
      <c r="C46" s="674"/>
      <c r="D46" s="674"/>
      <c r="E46" s="674"/>
      <c r="F46" s="1244"/>
      <c r="G46" s="173" t="s">
        <v>1226</v>
      </c>
      <c r="H46" s="1476" t="s">
        <v>1227</v>
      </c>
      <c r="I46" s="1473" t="s">
        <v>1211</v>
      </c>
      <c r="J46" s="1245"/>
      <c r="K46" s="1246">
        <f>802+105+4</f>
        <v>911</v>
      </c>
      <c r="L46" s="1247">
        <v>150000</v>
      </c>
      <c r="M46" s="168">
        <f>802+105+4</f>
        <v>911</v>
      </c>
      <c r="N46" s="1247">
        <v>200000</v>
      </c>
      <c r="O46" s="168">
        <f>802+105+4</f>
        <v>911</v>
      </c>
      <c r="P46" s="1247">
        <v>225000</v>
      </c>
      <c r="Q46" s="168">
        <v>911</v>
      </c>
      <c r="R46" s="1247">
        <v>250000</v>
      </c>
      <c r="S46" s="168">
        <v>911</v>
      </c>
      <c r="T46" s="1247">
        <v>275000</v>
      </c>
      <c r="U46" s="168">
        <v>911</v>
      </c>
      <c r="V46" s="1247">
        <v>275000</v>
      </c>
      <c r="W46" s="163"/>
      <c r="X46" s="1473"/>
      <c r="Y46" s="1257" t="s">
        <v>1156</v>
      </c>
    </row>
    <row r="47" spans="2:25" ht="216.75" x14ac:dyDescent="0.25">
      <c r="B47" s="229"/>
      <c r="C47" s="674"/>
      <c r="D47" s="674"/>
      <c r="E47" s="674"/>
      <c r="F47" s="1244"/>
      <c r="G47" s="173" t="s">
        <v>1228</v>
      </c>
      <c r="H47" s="1476" t="s">
        <v>1229</v>
      </c>
      <c r="I47" s="1473" t="s">
        <v>282</v>
      </c>
      <c r="J47" s="1245"/>
      <c r="K47" s="1246">
        <v>10</v>
      </c>
      <c r="L47" s="1247">
        <v>900000</v>
      </c>
      <c r="M47" s="168">
        <v>10</v>
      </c>
      <c r="N47" s="1247">
        <v>990000</v>
      </c>
      <c r="O47" s="168">
        <v>10</v>
      </c>
      <c r="P47" s="1247">
        <v>900000</v>
      </c>
      <c r="Q47" s="168">
        <v>10</v>
      </c>
      <c r="R47" s="1247">
        <v>900000</v>
      </c>
      <c r="S47" s="168">
        <v>10</v>
      </c>
      <c r="T47" s="1247">
        <v>900000</v>
      </c>
      <c r="U47" s="168">
        <v>10</v>
      </c>
      <c r="V47" s="1247">
        <v>900000</v>
      </c>
      <c r="W47" s="163"/>
      <c r="X47" s="1473"/>
      <c r="Y47" s="1257" t="s">
        <v>1156</v>
      </c>
    </row>
    <row r="48" spans="2:25" ht="51" x14ac:dyDescent="0.25">
      <c r="B48" s="229"/>
      <c r="C48" s="674"/>
      <c r="D48" s="674"/>
      <c r="E48" s="674"/>
      <c r="F48" s="1244"/>
      <c r="G48" s="173"/>
      <c r="H48" s="173" t="s">
        <v>3668</v>
      </c>
      <c r="I48" s="1473" t="s">
        <v>282</v>
      </c>
      <c r="J48" s="1245"/>
      <c r="K48" s="1246">
        <v>10</v>
      </c>
      <c r="L48" s="1247">
        <v>2714688</v>
      </c>
      <c r="M48" s="168">
        <v>10</v>
      </c>
      <c r="N48" s="1247">
        <v>2714688</v>
      </c>
      <c r="O48" s="168">
        <v>10</v>
      </c>
      <c r="P48" s="1247">
        <v>2714688</v>
      </c>
      <c r="Q48" s="168">
        <v>10</v>
      </c>
      <c r="R48" s="1247">
        <v>2714688</v>
      </c>
      <c r="S48" s="168">
        <v>10</v>
      </c>
      <c r="T48" s="1247">
        <v>2714688</v>
      </c>
      <c r="U48" s="168">
        <v>10</v>
      </c>
      <c r="V48" s="1247">
        <v>2714688</v>
      </c>
      <c r="W48" s="163"/>
      <c r="X48" s="1473"/>
      <c r="Y48" s="1257" t="s">
        <v>1156</v>
      </c>
    </row>
    <row r="49" spans="2:28" ht="63.75" x14ac:dyDescent="0.25">
      <c r="B49" s="229"/>
      <c r="C49" s="674"/>
      <c r="D49" s="674"/>
      <c r="E49" s="674"/>
      <c r="F49" s="1244"/>
      <c r="G49" s="173"/>
      <c r="H49" s="173" t="s">
        <v>3669</v>
      </c>
      <c r="I49" s="1473" t="s">
        <v>282</v>
      </c>
      <c r="J49" s="1245"/>
      <c r="K49" s="1246">
        <v>7</v>
      </c>
      <c r="L49" s="1247">
        <v>1277136</v>
      </c>
      <c r="M49" s="168">
        <v>7</v>
      </c>
      <c r="N49" s="1247">
        <v>1277136</v>
      </c>
      <c r="O49" s="168">
        <v>7</v>
      </c>
      <c r="P49" s="1247">
        <v>2714688</v>
      </c>
      <c r="Q49" s="168">
        <v>7</v>
      </c>
      <c r="R49" s="1247">
        <v>2714688</v>
      </c>
      <c r="S49" s="168">
        <v>7</v>
      </c>
      <c r="T49" s="1247">
        <v>2714688</v>
      </c>
      <c r="U49" s="168">
        <v>7</v>
      </c>
      <c r="V49" s="1247">
        <v>2714688</v>
      </c>
      <c r="W49" s="163"/>
      <c r="X49" s="1473"/>
      <c r="Y49" s="1257" t="s">
        <v>1156</v>
      </c>
    </row>
    <row r="50" spans="2:28" ht="63.75" x14ac:dyDescent="0.25">
      <c r="B50" s="229"/>
      <c r="C50" s="674"/>
      <c r="D50" s="674"/>
      <c r="E50" s="674"/>
      <c r="F50" s="1244"/>
      <c r="G50" s="173" t="s">
        <v>1230</v>
      </c>
      <c r="H50" s="1476" t="s">
        <v>1231</v>
      </c>
      <c r="I50" s="1473" t="s">
        <v>282</v>
      </c>
      <c r="J50" s="1245"/>
      <c r="K50" s="1246">
        <v>3</v>
      </c>
      <c r="L50" s="1247">
        <v>65000</v>
      </c>
      <c r="M50" s="168">
        <v>3</v>
      </c>
      <c r="N50" s="1247">
        <v>75000</v>
      </c>
      <c r="O50" s="168">
        <v>3</v>
      </c>
      <c r="P50" s="1247">
        <v>85000</v>
      </c>
      <c r="Q50" s="168">
        <v>3</v>
      </c>
      <c r="R50" s="1247">
        <v>95000</v>
      </c>
      <c r="S50" s="168">
        <v>3</v>
      </c>
      <c r="T50" s="1247">
        <v>105000</v>
      </c>
      <c r="U50" s="168">
        <v>3</v>
      </c>
      <c r="V50" s="1247">
        <v>115000</v>
      </c>
      <c r="W50" s="163"/>
      <c r="X50" s="1473"/>
      <c r="Y50" s="1257" t="s">
        <v>1156</v>
      </c>
    </row>
    <row r="51" spans="2:28" ht="89.25" x14ac:dyDescent="0.25">
      <c r="B51" s="229"/>
      <c r="C51" s="674"/>
      <c r="D51" s="674"/>
      <c r="E51" s="674"/>
      <c r="F51" s="1244"/>
      <c r="G51" s="173" t="s">
        <v>1232</v>
      </c>
      <c r="H51" s="1476" t="s">
        <v>1233</v>
      </c>
      <c r="I51" s="1473" t="s">
        <v>1234</v>
      </c>
      <c r="J51" s="1245"/>
      <c r="K51" s="1246">
        <v>2</v>
      </c>
      <c r="L51" s="1247">
        <v>20000</v>
      </c>
      <c r="M51" s="168">
        <v>6</v>
      </c>
      <c r="N51" s="1247">
        <v>120000</v>
      </c>
      <c r="O51" s="168">
        <v>6</v>
      </c>
      <c r="P51" s="1247">
        <v>120000</v>
      </c>
      <c r="Q51" s="168">
        <v>6</v>
      </c>
      <c r="R51" s="1247">
        <v>120000</v>
      </c>
      <c r="S51" s="168">
        <v>6</v>
      </c>
      <c r="T51" s="1247">
        <v>120000</v>
      </c>
      <c r="U51" s="168">
        <v>6</v>
      </c>
      <c r="V51" s="1247">
        <v>120000</v>
      </c>
      <c r="W51" s="163"/>
      <c r="X51" s="1473"/>
      <c r="Y51" s="1257" t="s">
        <v>1156</v>
      </c>
    </row>
    <row r="52" spans="2:28" ht="89.25" x14ac:dyDescent="0.25">
      <c r="B52" s="229"/>
      <c r="C52" s="674"/>
      <c r="D52" s="674"/>
      <c r="E52" s="674"/>
      <c r="F52" s="1244"/>
      <c r="G52" s="173" t="s">
        <v>3671</v>
      </c>
      <c r="H52" s="1476" t="s">
        <v>3672</v>
      </c>
      <c r="I52" s="1473" t="s">
        <v>1058</v>
      </c>
      <c r="J52" s="1245"/>
      <c r="K52" s="1246">
        <v>100</v>
      </c>
      <c r="L52" s="1247">
        <v>15000</v>
      </c>
      <c r="M52" s="168">
        <v>100</v>
      </c>
      <c r="N52" s="1247">
        <v>15000</v>
      </c>
      <c r="O52" s="168">
        <v>100</v>
      </c>
      <c r="P52" s="1247">
        <v>15000</v>
      </c>
      <c r="Q52" s="168">
        <v>100</v>
      </c>
      <c r="R52" s="1247">
        <v>15000</v>
      </c>
      <c r="S52" s="168">
        <v>100</v>
      </c>
      <c r="T52" s="1247">
        <v>15000</v>
      </c>
      <c r="U52" s="168">
        <v>100</v>
      </c>
      <c r="V52" s="1247">
        <v>15000</v>
      </c>
      <c r="W52" s="163"/>
      <c r="X52" s="1473"/>
      <c r="Y52" s="1257" t="s">
        <v>1156</v>
      </c>
    </row>
    <row r="53" spans="2:28" ht="63.75" x14ac:dyDescent="0.25">
      <c r="B53" s="229"/>
      <c r="C53" s="674"/>
      <c r="D53" s="674"/>
      <c r="E53" s="674"/>
      <c r="F53" s="1244"/>
      <c r="G53" s="173" t="s">
        <v>1235</v>
      </c>
      <c r="H53" s="1476" t="s">
        <v>1236</v>
      </c>
      <c r="I53" s="1473" t="s">
        <v>427</v>
      </c>
      <c r="J53" s="1245"/>
      <c r="K53" s="1246">
        <v>100</v>
      </c>
      <c r="L53" s="1247">
        <v>150000</v>
      </c>
      <c r="M53" s="168">
        <v>100</v>
      </c>
      <c r="N53" s="1247">
        <v>165000</v>
      </c>
      <c r="O53" s="168">
        <v>100</v>
      </c>
      <c r="P53" s="1247">
        <v>175000</v>
      </c>
      <c r="Q53" s="168">
        <v>100</v>
      </c>
      <c r="R53" s="1247">
        <v>200000</v>
      </c>
      <c r="S53" s="168">
        <v>100</v>
      </c>
      <c r="T53" s="1247">
        <v>200000</v>
      </c>
      <c r="U53" s="168">
        <v>100</v>
      </c>
      <c r="V53" s="1247">
        <v>200000</v>
      </c>
      <c r="W53" s="163"/>
      <c r="X53" s="1473"/>
      <c r="Y53" s="1257" t="s">
        <v>1156</v>
      </c>
    </row>
    <row r="54" spans="2:28" ht="38.25" x14ac:dyDescent="0.25">
      <c r="B54" s="229"/>
      <c r="C54" s="674"/>
      <c r="D54" s="674"/>
      <c r="E54" s="674"/>
      <c r="F54" s="1478"/>
      <c r="G54" s="1476" t="s">
        <v>1237</v>
      </c>
      <c r="H54" s="1476" t="s">
        <v>3129</v>
      </c>
      <c r="I54" s="1473" t="s">
        <v>19</v>
      </c>
      <c r="J54" s="706"/>
      <c r="K54" s="706"/>
      <c r="L54" s="1247">
        <f>SUM(L55:L68)</f>
        <v>2239000</v>
      </c>
      <c r="M54" s="706"/>
      <c r="N54" s="1247">
        <f>SUM(N55:N68)</f>
        <v>2460900</v>
      </c>
      <c r="O54" s="163"/>
      <c r="P54" s="1247">
        <f>SUM(P55:P68)</f>
        <v>2391800</v>
      </c>
      <c r="Q54" s="163"/>
      <c r="R54" s="1247">
        <f>SUM(R55:R68)</f>
        <v>2466480</v>
      </c>
      <c r="S54" s="163"/>
      <c r="T54" s="1247">
        <f>SUM(T55:T68)</f>
        <v>2552128</v>
      </c>
      <c r="U54" s="163"/>
      <c r="V54" s="1247">
        <f>SUM(V55:V68)</f>
        <v>2563840.7999999998</v>
      </c>
      <c r="W54" s="163"/>
      <c r="X54" s="1473"/>
      <c r="Y54" s="1257" t="s">
        <v>1156</v>
      </c>
    </row>
    <row r="55" spans="2:28" ht="51" x14ac:dyDescent="0.25">
      <c r="B55" s="229"/>
      <c r="C55" s="674"/>
      <c r="D55" s="674"/>
      <c r="E55" s="674"/>
      <c r="F55" s="1244"/>
      <c r="G55" s="173" t="s">
        <v>1238</v>
      </c>
      <c r="H55" s="1476" t="s">
        <v>1239</v>
      </c>
      <c r="I55" s="1473" t="s">
        <v>1211</v>
      </c>
      <c r="J55" s="1245"/>
      <c r="K55" s="1246">
        <v>4</v>
      </c>
      <c r="L55" s="1247">
        <v>80000</v>
      </c>
      <c r="M55" s="168">
        <v>4</v>
      </c>
      <c r="N55" s="1247">
        <v>88000</v>
      </c>
      <c r="O55" s="168">
        <v>4</v>
      </c>
      <c r="P55" s="1247">
        <v>96800</v>
      </c>
      <c r="Q55" s="168">
        <v>4</v>
      </c>
      <c r="R55" s="1247">
        <v>106480</v>
      </c>
      <c r="S55" s="168">
        <v>4</v>
      </c>
      <c r="T55" s="1247">
        <v>117128</v>
      </c>
      <c r="U55" s="168">
        <v>4</v>
      </c>
      <c r="V55" s="1247">
        <v>128840.8</v>
      </c>
      <c r="W55" s="163"/>
      <c r="X55" s="1473"/>
      <c r="Y55" s="1257" t="s">
        <v>1156</v>
      </c>
      <c r="AA55" s="1249">
        <v>4</v>
      </c>
      <c r="AB55" s="1250">
        <f t="shared" ref="AB55:AB68" si="2">V55*1000</f>
        <v>128840800</v>
      </c>
    </row>
    <row r="56" spans="2:28" ht="51" x14ac:dyDescent="0.25">
      <c r="B56" s="229"/>
      <c r="C56" s="674"/>
      <c r="D56" s="674"/>
      <c r="E56" s="674"/>
      <c r="F56" s="674"/>
      <c r="G56" s="173" t="s">
        <v>1195</v>
      </c>
      <c r="H56" s="1476" t="s">
        <v>1239</v>
      </c>
      <c r="I56" s="1473" t="s">
        <v>1211</v>
      </c>
      <c r="J56" s="1245"/>
      <c r="K56" s="1246">
        <v>4</v>
      </c>
      <c r="L56" s="1247">
        <v>100000</v>
      </c>
      <c r="M56" s="168">
        <v>4</v>
      </c>
      <c r="N56" s="1247">
        <v>110000</v>
      </c>
      <c r="O56" s="168">
        <v>4</v>
      </c>
      <c r="P56" s="1247">
        <v>100000</v>
      </c>
      <c r="Q56" s="168">
        <v>4</v>
      </c>
      <c r="R56" s="1247">
        <v>100000</v>
      </c>
      <c r="S56" s="168">
        <v>4</v>
      </c>
      <c r="T56" s="1247">
        <v>100000</v>
      </c>
      <c r="U56" s="168">
        <v>4</v>
      </c>
      <c r="V56" s="1247">
        <v>100000</v>
      </c>
      <c r="W56" s="163"/>
      <c r="X56" s="173"/>
      <c r="Y56" s="1257" t="s">
        <v>1156</v>
      </c>
      <c r="AA56" s="1473">
        <v>4</v>
      </c>
      <c r="AB56" s="1250">
        <f t="shared" si="2"/>
        <v>100000000</v>
      </c>
    </row>
    <row r="57" spans="2:28" ht="51" x14ac:dyDescent="0.25">
      <c r="B57" s="229"/>
      <c r="C57" s="674"/>
      <c r="D57" s="674"/>
      <c r="E57" s="674"/>
      <c r="F57" s="674"/>
      <c r="G57" s="173"/>
      <c r="H57" s="1476" t="s">
        <v>1239</v>
      </c>
      <c r="I57" s="1473" t="s">
        <v>1211</v>
      </c>
      <c r="J57" s="1245"/>
      <c r="K57" s="1246">
        <v>2</v>
      </c>
      <c r="L57" s="1247">
        <v>50000</v>
      </c>
      <c r="M57" s="168">
        <v>2</v>
      </c>
      <c r="N57" s="1247">
        <v>55000</v>
      </c>
      <c r="O57" s="168">
        <v>2</v>
      </c>
      <c r="P57" s="1247">
        <v>50000</v>
      </c>
      <c r="Q57" s="168">
        <v>2</v>
      </c>
      <c r="R57" s="1247">
        <v>50000</v>
      </c>
      <c r="S57" s="168">
        <v>2</v>
      </c>
      <c r="T57" s="1247">
        <v>50000</v>
      </c>
      <c r="U57" s="168">
        <v>2</v>
      </c>
      <c r="V57" s="1247">
        <v>50000</v>
      </c>
      <c r="W57" s="163"/>
      <c r="X57" s="173"/>
      <c r="Y57" s="1257" t="s">
        <v>1156</v>
      </c>
      <c r="AA57" s="1473">
        <v>2</v>
      </c>
      <c r="AB57" s="1250">
        <f t="shared" si="2"/>
        <v>50000000</v>
      </c>
    </row>
    <row r="58" spans="2:28" ht="114.75" x14ac:dyDescent="0.25">
      <c r="B58" s="229"/>
      <c r="C58" s="674"/>
      <c r="D58" s="674"/>
      <c r="E58" s="674"/>
      <c r="F58" s="674"/>
      <c r="G58" s="173" t="s">
        <v>1240</v>
      </c>
      <c r="H58" s="1476" t="s">
        <v>1241</v>
      </c>
      <c r="I58" s="1473" t="s">
        <v>3088</v>
      </c>
      <c r="J58" s="1245"/>
      <c r="K58" s="1246">
        <v>7</v>
      </c>
      <c r="L58" s="1247">
        <v>410000</v>
      </c>
      <c r="M58" s="168">
        <v>7</v>
      </c>
      <c r="N58" s="1247">
        <v>451000</v>
      </c>
      <c r="O58" s="168">
        <v>7</v>
      </c>
      <c r="P58" s="1247">
        <v>495000</v>
      </c>
      <c r="Q58" s="168">
        <v>7</v>
      </c>
      <c r="R58" s="1247">
        <v>535000</v>
      </c>
      <c r="S58" s="168">
        <v>7</v>
      </c>
      <c r="T58" s="1247">
        <v>585000</v>
      </c>
      <c r="U58" s="168">
        <v>7</v>
      </c>
      <c r="V58" s="1247">
        <v>585000</v>
      </c>
      <c r="W58" s="163"/>
      <c r="X58" s="1473"/>
      <c r="Y58" s="1257" t="s">
        <v>1156</v>
      </c>
      <c r="AA58" s="1251">
        <v>7</v>
      </c>
      <c r="AB58" s="1250">
        <f t="shared" si="2"/>
        <v>585000000</v>
      </c>
    </row>
    <row r="59" spans="2:28" ht="89.25" x14ac:dyDescent="0.25">
      <c r="B59" s="229"/>
      <c r="C59" s="674"/>
      <c r="D59" s="674"/>
      <c r="E59" s="674"/>
      <c r="F59" s="674"/>
      <c r="G59" s="173" t="s">
        <v>1242</v>
      </c>
      <c r="H59" s="1476" t="s">
        <v>1243</v>
      </c>
      <c r="I59" s="1473" t="s">
        <v>1244</v>
      </c>
      <c r="J59" s="1245"/>
      <c r="K59" s="1246">
        <v>456</v>
      </c>
      <c r="L59" s="1247">
        <v>274000</v>
      </c>
      <c r="M59" s="168">
        <v>456</v>
      </c>
      <c r="N59" s="1247">
        <v>301400</v>
      </c>
      <c r="O59" s="168">
        <v>456</v>
      </c>
      <c r="P59" s="1247">
        <v>325000</v>
      </c>
      <c r="Q59" s="168">
        <v>456</v>
      </c>
      <c r="R59" s="1247">
        <v>350000</v>
      </c>
      <c r="S59" s="168">
        <v>456</v>
      </c>
      <c r="T59" s="1247">
        <v>375000</v>
      </c>
      <c r="U59" s="168">
        <v>456</v>
      </c>
      <c r="V59" s="1247">
        <v>375000</v>
      </c>
      <c r="W59" s="163"/>
      <c r="X59" s="173"/>
      <c r="Y59" s="1257" t="s">
        <v>1156</v>
      </c>
      <c r="AA59" s="1251">
        <v>456</v>
      </c>
      <c r="AB59" s="1250">
        <f t="shared" si="2"/>
        <v>375000000</v>
      </c>
    </row>
    <row r="60" spans="2:28" ht="63.75" x14ac:dyDescent="0.25">
      <c r="B60" s="229"/>
      <c r="C60" s="674"/>
      <c r="D60" s="674"/>
      <c r="E60" s="674"/>
      <c r="F60" s="674"/>
      <c r="G60" s="173" t="s">
        <v>1245</v>
      </c>
      <c r="H60" s="1476" t="s">
        <v>1246</v>
      </c>
      <c r="I60" s="1473" t="s">
        <v>1211</v>
      </c>
      <c r="J60" s="1245"/>
      <c r="K60" s="1246">
        <v>2</v>
      </c>
      <c r="L60" s="1247">
        <v>50000</v>
      </c>
      <c r="M60" s="168">
        <v>2</v>
      </c>
      <c r="N60" s="1247">
        <v>55000</v>
      </c>
      <c r="O60" s="168">
        <v>2</v>
      </c>
      <c r="P60" s="1247">
        <v>50000</v>
      </c>
      <c r="Q60" s="168">
        <v>2</v>
      </c>
      <c r="R60" s="1247">
        <v>50000</v>
      </c>
      <c r="S60" s="168">
        <v>2</v>
      </c>
      <c r="T60" s="1247">
        <v>50000</v>
      </c>
      <c r="U60" s="168">
        <v>2</v>
      </c>
      <c r="V60" s="1247">
        <v>50000</v>
      </c>
      <c r="W60" s="163"/>
      <c r="X60" s="173"/>
      <c r="Y60" s="1257" t="s">
        <v>1156</v>
      </c>
      <c r="AA60" s="1251">
        <v>2</v>
      </c>
      <c r="AB60" s="1250">
        <f t="shared" si="2"/>
        <v>50000000</v>
      </c>
    </row>
    <row r="61" spans="2:28" ht="38.25" x14ac:dyDescent="0.25">
      <c r="B61" s="229"/>
      <c r="C61" s="674"/>
      <c r="D61" s="674"/>
      <c r="E61" s="674"/>
      <c r="F61" s="674"/>
      <c r="G61" s="173" t="s">
        <v>1247</v>
      </c>
      <c r="H61" s="1476" t="s">
        <v>1248</v>
      </c>
      <c r="I61" s="1473" t="s">
        <v>1211</v>
      </c>
      <c r="J61" s="1245"/>
      <c r="K61" s="1246">
        <v>1</v>
      </c>
      <c r="L61" s="1247">
        <v>200000</v>
      </c>
      <c r="M61" s="168">
        <v>1</v>
      </c>
      <c r="N61" s="1247">
        <v>220000</v>
      </c>
      <c r="O61" s="168">
        <v>1</v>
      </c>
      <c r="P61" s="1247">
        <v>200000</v>
      </c>
      <c r="Q61" s="168">
        <v>1</v>
      </c>
      <c r="R61" s="1247">
        <v>200000</v>
      </c>
      <c r="S61" s="168">
        <v>1</v>
      </c>
      <c r="T61" s="1247">
        <v>200000</v>
      </c>
      <c r="U61" s="168">
        <v>1</v>
      </c>
      <c r="V61" s="1247">
        <v>200000</v>
      </c>
      <c r="W61" s="163"/>
      <c r="X61" s="173"/>
      <c r="Y61" s="1257" t="s">
        <v>1156</v>
      </c>
      <c r="AA61" s="1251">
        <v>1</v>
      </c>
      <c r="AB61" s="1250">
        <f t="shared" si="2"/>
        <v>200000000</v>
      </c>
    </row>
    <row r="62" spans="2:28" ht="38.25" x14ac:dyDescent="0.25">
      <c r="B62" s="229"/>
      <c r="C62" s="674"/>
      <c r="D62" s="674"/>
      <c r="E62" s="674"/>
      <c r="F62" s="674"/>
      <c r="G62" s="173" t="s">
        <v>1249</v>
      </c>
      <c r="H62" s="1476" t="s">
        <v>1248</v>
      </c>
      <c r="I62" s="1473" t="s">
        <v>1211</v>
      </c>
      <c r="J62" s="1245"/>
      <c r="K62" s="1246">
        <v>1</v>
      </c>
      <c r="L62" s="1247">
        <v>50000</v>
      </c>
      <c r="M62" s="168">
        <v>1</v>
      </c>
      <c r="N62" s="1247">
        <v>55000</v>
      </c>
      <c r="O62" s="168">
        <v>1</v>
      </c>
      <c r="P62" s="1247">
        <v>50000</v>
      </c>
      <c r="Q62" s="168">
        <v>1</v>
      </c>
      <c r="R62" s="1247">
        <v>50000</v>
      </c>
      <c r="S62" s="168">
        <v>1</v>
      </c>
      <c r="T62" s="1247">
        <v>50000</v>
      </c>
      <c r="U62" s="168">
        <v>1</v>
      </c>
      <c r="V62" s="1247">
        <v>50000</v>
      </c>
      <c r="W62" s="163"/>
      <c r="X62" s="173"/>
      <c r="Y62" s="1257" t="s">
        <v>1156</v>
      </c>
      <c r="AA62" s="1251">
        <v>1</v>
      </c>
      <c r="AB62" s="1250">
        <f t="shared" si="2"/>
        <v>50000000</v>
      </c>
    </row>
    <row r="63" spans="2:28" ht="38.25" x14ac:dyDescent="0.25">
      <c r="B63" s="229"/>
      <c r="C63" s="674"/>
      <c r="D63" s="674"/>
      <c r="E63" s="674"/>
      <c r="F63" s="674"/>
      <c r="G63" s="173" t="s">
        <v>1250</v>
      </c>
      <c r="H63" s="1476" t="s">
        <v>1248</v>
      </c>
      <c r="I63" s="1473" t="s">
        <v>1211</v>
      </c>
      <c r="J63" s="1245"/>
      <c r="K63" s="1246">
        <v>4</v>
      </c>
      <c r="L63" s="1247">
        <v>125000</v>
      </c>
      <c r="M63" s="168">
        <v>4</v>
      </c>
      <c r="N63" s="1247">
        <v>137500</v>
      </c>
      <c r="O63" s="168">
        <v>4</v>
      </c>
      <c r="P63" s="1247">
        <v>125000</v>
      </c>
      <c r="Q63" s="168">
        <v>4</v>
      </c>
      <c r="R63" s="1247">
        <v>125000</v>
      </c>
      <c r="S63" s="168">
        <v>4</v>
      </c>
      <c r="T63" s="1247">
        <v>125000</v>
      </c>
      <c r="U63" s="168">
        <v>4</v>
      </c>
      <c r="V63" s="1247">
        <v>125000</v>
      </c>
      <c r="W63" s="163"/>
      <c r="X63" s="173"/>
      <c r="Y63" s="1257" t="s">
        <v>1156</v>
      </c>
      <c r="AA63" s="1251">
        <v>4</v>
      </c>
      <c r="AB63" s="1250">
        <f t="shared" si="2"/>
        <v>125000000</v>
      </c>
    </row>
    <row r="64" spans="2:28" x14ac:dyDescent="0.25">
      <c r="B64" s="229"/>
      <c r="C64" s="674"/>
      <c r="D64" s="674"/>
      <c r="E64" s="674"/>
      <c r="F64" s="674"/>
      <c r="G64" s="173" t="s">
        <v>1251</v>
      </c>
      <c r="H64" s="1473"/>
      <c r="I64" s="1473"/>
      <c r="J64" s="1245"/>
      <c r="K64" s="1246"/>
      <c r="L64" s="1247">
        <v>0</v>
      </c>
      <c r="M64" s="168"/>
      <c r="N64" s="1247">
        <v>0</v>
      </c>
      <c r="O64" s="168"/>
      <c r="P64" s="1247">
        <v>0</v>
      </c>
      <c r="Q64" s="168"/>
      <c r="R64" s="1247">
        <v>0</v>
      </c>
      <c r="S64" s="168"/>
      <c r="T64" s="1247">
        <v>0</v>
      </c>
      <c r="U64" s="168"/>
      <c r="V64" s="1247">
        <v>0</v>
      </c>
      <c r="W64" s="163"/>
      <c r="X64" s="173"/>
      <c r="Y64" s="1257" t="s">
        <v>1156</v>
      </c>
      <c r="AA64" s="1252"/>
      <c r="AB64" s="1250">
        <f t="shared" si="2"/>
        <v>0</v>
      </c>
    </row>
    <row r="65" spans="2:28" ht="38.25" x14ac:dyDescent="0.25">
      <c r="B65" s="229"/>
      <c r="C65" s="674"/>
      <c r="D65" s="674"/>
      <c r="E65" s="674"/>
      <c r="F65" s="674"/>
      <c r="G65" s="173" t="s">
        <v>1252</v>
      </c>
      <c r="H65" s="1476" t="s">
        <v>1248</v>
      </c>
      <c r="I65" s="1473" t="s">
        <v>1211</v>
      </c>
      <c r="J65" s="1245"/>
      <c r="K65" s="1246">
        <v>1</v>
      </c>
      <c r="L65" s="1247">
        <v>300000</v>
      </c>
      <c r="M65" s="168">
        <v>1</v>
      </c>
      <c r="N65" s="1247">
        <v>330000</v>
      </c>
      <c r="O65" s="168">
        <v>1</v>
      </c>
      <c r="P65" s="1247">
        <v>300000</v>
      </c>
      <c r="Q65" s="168">
        <v>1</v>
      </c>
      <c r="R65" s="1247">
        <v>300000</v>
      </c>
      <c r="S65" s="168">
        <v>1</v>
      </c>
      <c r="T65" s="1247">
        <v>300000</v>
      </c>
      <c r="U65" s="168">
        <v>1</v>
      </c>
      <c r="V65" s="1247">
        <v>300000</v>
      </c>
      <c r="W65" s="163"/>
      <c r="X65" s="173"/>
      <c r="Y65" s="1257" t="s">
        <v>1156</v>
      </c>
      <c r="AA65" s="1251">
        <v>1</v>
      </c>
      <c r="AB65" s="1250">
        <f t="shared" si="2"/>
        <v>300000000</v>
      </c>
    </row>
    <row r="66" spans="2:28" ht="38.25" x14ac:dyDescent="0.25">
      <c r="B66" s="229"/>
      <c r="C66" s="674"/>
      <c r="D66" s="674"/>
      <c r="E66" s="674"/>
      <c r="F66" s="674"/>
      <c r="G66" s="173" t="s">
        <v>1253</v>
      </c>
      <c r="H66" s="1476" t="s">
        <v>1248</v>
      </c>
      <c r="I66" s="1473" t="s">
        <v>1211</v>
      </c>
      <c r="J66" s="1245"/>
      <c r="K66" s="1246">
        <v>1</v>
      </c>
      <c r="L66" s="1247">
        <v>500000</v>
      </c>
      <c r="M66" s="168">
        <v>1</v>
      </c>
      <c r="N66" s="1247">
        <v>550000</v>
      </c>
      <c r="O66" s="168">
        <v>1</v>
      </c>
      <c r="P66" s="1247">
        <v>500000</v>
      </c>
      <c r="Q66" s="168">
        <v>1</v>
      </c>
      <c r="R66" s="1247">
        <v>500000</v>
      </c>
      <c r="S66" s="168">
        <v>1</v>
      </c>
      <c r="T66" s="1247">
        <v>500000</v>
      </c>
      <c r="U66" s="168">
        <v>1</v>
      </c>
      <c r="V66" s="1247">
        <v>500000</v>
      </c>
      <c r="W66" s="163"/>
      <c r="X66" s="173"/>
      <c r="Y66" s="1257" t="s">
        <v>1156</v>
      </c>
      <c r="AA66" s="1251">
        <v>1</v>
      </c>
      <c r="AB66" s="1250">
        <f t="shared" si="2"/>
        <v>500000000</v>
      </c>
    </row>
    <row r="67" spans="2:28" ht="63.75" x14ac:dyDescent="0.25">
      <c r="B67" s="229"/>
      <c r="C67" s="674"/>
      <c r="D67" s="674"/>
      <c r="E67" s="674"/>
      <c r="F67" s="674"/>
      <c r="G67" s="173" t="s">
        <v>3673</v>
      </c>
      <c r="H67" s="1476" t="s">
        <v>3674</v>
      </c>
      <c r="I67" s="1473" t="s">
        <v>3675</v>
      </c>
      <c r="J67" s="1245">
        <v>0</v>
      </c>
      <c r="K67" s="1246">
        <v>1</v>
      </c>
      <c r="L67" s="1247">
        <v>20000</v>
      </c>
      <c r="M67" s="168">
        <v>1</v>
      </c>
      <c r="N67" s="1247">
        <v>20000</v>
      </c>
      <c r="O67" s="168">
        <v>1</v>
      </c>
      <c r="P67" s="1247">
        <v>20000</v>
      </c>
      <c r="Q67" s="168">
        <v>1</v>
      </c>
      <c r="R67" s="1247">
        <v>20000</v>
      </c>
      <c r="S67" s="168">
        <v>1</v>
      </c>
      <c r="T67" s="1247">
        <v>20000</v>
      </c>
      <c r="U67" s="168">
        <v>1</v>
      </c>
      <c r="V67" s="1247">
        <v>20000</v>
      </c>
      <c r="W67" s="163"/>
      <c r="X67" s="173"/>
      <c r="Y67" s="1257" t="s">
        <v>1156</v>
      </c>
      <c r="AA67" s="1251"/>
      <c r="AB67" s="1250"/>
    </row>
    <row r="68" spans="2:28" ht="63.75" x14ac:dyDescent="0.25">
      <c r="B68" s="229"/>
      <c r="C68" s="674"/>
      <c r="D68" s="674"/>
      <c r="E68" s="674"/>
      <c r="F68" s="674"/>
      <c r="G68" s="173" t="s">
        <v>1254</v>
      </c>
      <c r="H68" s="1476" t="s">
        <v>1255</v>
      </c>
      <c r="I68" s="1473" t="s">
        <v>1211</v>
      </c>
      <c r="J68" s="1245"/>
      <c r="K68" s="1246">
        <v>2</v>
      </c>
      <c r="L68" s="1247">
        <v>80000</v>
      </c>
      <c r="M68" s="168">
        <v>2</v>
      </c>
      <c r="N68" s="1247">
        <v>88000</v>
      </c>
      <c r="O68" s="168">
        <v>2</v>
      </c>
      <c r="P68" s="1247">
        <v>80000</v>
      </c>
      <c r="Q68" s="168">
        <v>2</v>
      </c>
      <c r="R68" s="1247">
        <v>80000</v>
      </c>
      <c r="S68" s="168">
        <v>2</v>
      </c>
      <c r="T68" s="1247">
        <v>80000</v>
      </c>
      <c r="U68" s="168">
        <v>2</v>
      </c>
      <c r="V68" s="1247">
        <v>80000</v>
      </c>
      <c r="W68" s="163"/>
      <c r="X68" s="173"/>
      <c r="Y68" s="1257" t="s">
        <v>1156</v>
      </c>
      <c r="AA68" s="1251">
        <v>2</v>
      </c>
      <c r="AB68" s="1250">
        <f t="shared" si="2"/>
        <v>80000000</v>
      </c>
    </row>
    <row r="69" spans="2:28" x14ac:dyDescent="0.25">
      <c r="B69" s="229"/>
      <c r="C69" s="173"/>
      <c r="D69" s="173"/>
      <c r="E69" s="173"/>
      <c r="F69" s="173"/>
      <c r="G69" s="673"/>
      <c r="H69" s="1479"/>
      <c r="I69" s="1473"/>
      <c r="J69" s="1245"/>
      <c r="K69" s="1246"/>
      <c r="L69" s="1247"/>
      <c r="M69" s="168"/>
      <c r="N69" s="1247"/>
      <c r="O69" s="168"/>
      <c r="P69" s="1247"/>
      <c r="Q69" s="168"/>
      <c r="R69" s="1247"/>
      <c r="S69" s="168"/>
      <c r="T69" s="1247"/>
      <c r="U69" s="168"/>
      <c r="V69" s="1247"/>
      <c r="W69" s="163"/>
      <c r="X69" s="173"/>
      <c r="Y69" s="1257"/>
      <c r="AA69" s="1509"/>
      <c r="AB69" s="1510"/>
    </row>
    <row r="70" spans="2:28" ht="153" x14ac:dyDescent="0.25">
      <c r="B70" s="229"/>
      <c r="C70" s="2013" t="s">
        <v>3810</v>
      </c>
      <c r="D70" s="173" t="s">
        <v>3859</v>
      </c>
      <c r="E70" s="173" t="s">
        <v>3860</v>
      </c>
      <c r="F70" s="173" t="s">
        <v>3856</v>
      </c>
      <c r="G70" s="1473" t="s">
        <v>3862</v>
      </c>
      <c r="H70" s="675"/>
      <c r="I70" s="1473" t="s">
        <v>19</v>
      </c>
      <c r="J70" s="1242">
        <v>89.06</v>
      </c>
      <c r="K70" s="674">
        <v>90.26</v>
      </c>
      <c r="M70" s="674">
        <v>91.26</v>
      </c>
      <c r="O70" s="674">
        <v>91.86</v>
      </c>
      <c r="P70" s="1516"/>
      <c r="Q70" s="674">
        <v>92.36</v>
      </c>
      <c r="R70" s="1516"/>
      <c r="S70" s="674">
        <v>92.86</v>
      </c>
      <c r="T70" s="1516"/>
      <c r="U70" s="675">
        <v>93.36</v>
      </c>
      <c r="V70" s="1246"/>
      <c r="W70" s="675">
        <v>93.36</v>
      </c>
      <c r="X70" s="173"/>
      <c r="Y70" s="1257" t="s">
        <v>1156</v>
      </c>
      <c r="AA70" s="1509"/>
      <c r="AB70" s="1510"/>
    </row>
    <row r="71" spans="2:28" ht="51" x14ac:dyDescent="0.25">
      <c r="B71" s="229"/>
      <c r="C71" s="2014"/>
      <c r="D71" s="173" t="s">
        <v>3858</v>
      </c>
      <c r="E71" s="173" t="s">
        <v>3861</v>
      </c>
      <c r="F71" s="173" t="s">
        <v>3857</v>
      </c>
      <c r="G71" s="1473" t="s">
        <v>3863</v>
      </c>
      <c r="H71" s="675"/>
      <c r="I71" s="1473" t="s">
        <v>19</v>
      </c>
      <c r="J71" s="1612">
        <v>17.543859649122805</v>
      </c>
      <c r="K71" s="1607">
        <v>19.21470342522974</v>
      </c>
      <c r="L71" s="1613"/>
      <c r="M71" s="1607">
        <v>21.720969089390142</v>
      </c>
      <c r="N71" s="1613"/>
      <c r="O71" s="1607">
        <v>24.22723475355054</v>
      </c>
      <c r="P71" s="1247"/>
      <c r="Q71" s="1607">
        <v>26.733500417710943</v>
      </c>
      <c r="R71" s="1247"/>
      <c r="S71" s="1607">
        <v>30.075187969924812</v>
      </c>
      <c r="T71" s="1247"/>
      <c r="U71" s="1607">
        <v>33.416875522138682</v>
      </c>
      <c r="V71" s="1246"/>
      <c r="W71" s="1607">
        <v>33.416875522138682</v>
      </c>
      <c r="X71" s="173"/>
      <c r="Y71" s="1257" t="s">
        <v>1156</v>
      </c>
      <c r="AA71" s="1509"/>
      <c r="AB71" s="1510"/>
    </row>
    <row r="72" spans="2:28" ht="38.25" x14ac:dyDescent="0.25">
      <c r="B72" s="229"/>
      <c r="C72" s="2014"/>
      <c r="D72" s="232"/>
      <c r="E72" s="232"/>
      <c r="G72" s="673" t="s">
        <v>1256</v>
      </c>
      <c r="H72" s="675" t="s">
        <v>3113</v>
      </c>
      <c r="I72" s="1473" t="s">
        <v>19</v>
      </c>
      <c r="J72" s="1245">
        <v>68.801228085589912</v>
      </c>
      <c r="K72" s="1245">
        <v>68.329977939235405</v>
      </c>
      <c r="L72" s="1247">
        <f>SUM(L73:L88)</f>
        <v>11419800</v>
      </c>
      <c r="M72" s="1245">
        <v>68.34</v>
      </c>
      <c r="N72" s="1247">
        <f>SUM(N73:N88)</f>
        <v>11912340</v>
      </c>
      <c r="O72" s="1245">
        <v>68.349999999999994</v>
      </c>
      <c r="P72" s="1247">
        <f>SUM(P73:P88)</f>
        <v>11639800</v>
      </c>
      <c r="Q72" s="1245">
        <v>68.36</v>
      </c>
      <c r="R72" s="1247">
        <f>SUM(R73:R88)</f>
        <v>11674800</v>
      </c>
      <c r="S72" s="1245">
        <v>68.36</v>
      </c>
      <c r="T72" s="1247">
        <f>SUM(T73:T88)</f>
        <v>11689800</v>
      </c>
      <c r="U72" s="1245">
        <v>68.37</v>
      </c>
      <c r="V72" s="1247">
        <f>SUM(V73:V88)</f>
        <v>11659800</v>
      </c>
      <c r="W72" s="1245">
        <v>68.37</v>
      </c>
      <c r="X72" s="173"/>
      <c r="Y72" s="1257" t="s">
        <v>1156</v>
      </c>
      <c r="AA72" s="1509"/>
      <c r="AB72" s="1510"/>
    </row>
    <row r="73" spans="2:28" ht="51" x14ac:dyDescent="0.25">
      <c r="B73" s="229"/>
      <c r="C73" s="674"/>
      <c r="D73" s="674"/>
      <c r="E73" s="674"/>
      <c r="F73" s="674"/>
      <c r="G73" s="173" t="s">
        <v>1257</v>
      </c>
      <c r="H73" s="1476" t="s">
        <v>3089</v>
      </c>
      <c r="I73" s="1473" t="s">
        <v>275</v>
      </c>
      <c r="J73" s="1246">
        <v>1</v>
      </c>
      <c r="K73" s="1246">
        <v>1</v>
      </c>
      <c r="L73" s="1246">
        <v>250000</v>
      </c>
      <c r="M73" s="1246">
        <v>1</v>
      </c>
      <c r="N73" s="1247">
        <v>275000</v>
      </c>
      <c r="O73" s="1246">
        <v>1</v>
      </c>
      <c r="P73" s="1247">
        <v>250000</v>
      </c>
      <c r="Q73" s="1246">
        <v>1</v>
      </c>
      <c r="R73" s="1247">
        <v>250000</v>
      </c>
      <c r="S73" s="1246">
        <v>1</v>
      </c>
      <c r="T73" s="1247">
        <v>250000</v>
      </c>
      <c r="U73" s="1246">
        <v>1</v>
      </c>
      <c r="V73" s="1247">
        <v>250000</v>
      </c>
      <c r="W73" s="168">
        <f>U73+S73+Q73+O73+M73+K73</f>
        <v>6</v>
      </c>
      <c r="X73" s="173"/>
      <c r="Y73" s="1257" t="s">
        <v>1156</v>
      </c>
    </row>
    <row r="74" spans="2:28" ht="25.5" x14ac:dyDescent="0.25">
      <c r="B74" s="229"/>
      <c r="C74" s="674"/>
      <c r="D74" s="674"/>
      <c r="E74" s="674"/>
      <c r="F74" s="674"/>
      <c r="G74" s="173"/>
      <c r="H74" s="1476"/>
      <c r="I74" s="1473" t="s">
        <v>1258</v>
      </c>
      <c r="J74" s="1246">
        <v>6750</v>
      </c>
      <c r="K74" s="1246">
        <v>6750</v>
      </c>
      <c r="L74" s="1247">
        <v>0</v>
      </c>
      <c r="M74" s="1246">
        <v>6750</v>
      </c>
      <c r="N74" s="1247">
        <v>0</v>
      </c>
      <c r="O74" s="1246">
        <v>6750</v>
      </c>
      <c r="P74" s="1247">
        <v>0</v>
      </c>
      <c r="Q74" s="1246">
        <v>6750</v>
      </c>
      <c r="R74" s="1247">
        <v>0</v>
      </c>
      <c r="S74" s="1246">
        <v>6750</v>
      </c>
      <c r="T74" s="1247">
        <v>0</v>
      </c>
      <c r="U74" s="1246">
        <v>6750</v>
      </c>
      <c r="V74" s="1247">
        <v>0</v>
      </c>
      <c r="W74" s="168">
        <f>U74</f>
        <v>6750</v>
      </c>
      <c r="X74" s="173"/>
      <c r="Y74" s="1257" t="s">
        <v>1156</v>
      </c>
    </row>
    <row r="75" spans="2:28" ht="51" x14ac:dyDescent="0.25">
      <c r="B75" s="229"/>
      <c r="C75" s="674"/>
      <c r="D75" s="674"/>
      <c r="E75" s="674"/>
      <c r="F75" s="674"/>
      <c r="G75" s="173" t="s">
        <v>1259</v>
      </c>
      <c r="H75" s="1476" t="s">
        <v>1260</v>
      </c>
      <c r="I75" s="1473" t="s">
        <v>275</v>
      </c>
      <c r="J75" s="1246">
        <v>1</v>
      </c>
      <c r="K75" s="1246">
        <v>1</v>
      </c>
      <c r="L75" s="1247">
        <v>0</v>
      </c>
      <c r="M75" s="1246">
        <v>1</v>
      </c>
      <c r="N75" s="1247">
        <v>0</v>
      </c>
      <c r="O75" s="1246">
        <v>1</v>
      </c>
      <c r="P75" s="1247">
        <v>150000</v>
      </c>
      <c r="Q75" s="1246">
        <v>1</v>
      </c>
      <c r="R75" s="1247">
        <v>150000</v>
      </c>
      <c r="S75" s="1246">
        <v>1</v>
      </c>
      <c r="T75" s="1247">
        <v>150000</v>
      </c>
      <c r="U75" s="1246">
        <v>1</v>
      </c>
      <c r="V75" s="1247">
        <v>150000</v>
      </c>
      <c r="W75" s="168">
        <f t="shared" ref="W75:W82" si="3">U75+S75+Q75+O75+M75+K75</f>
        <v>6</v>
      </c>
      <c r="X75" s="173"/>
      <c r="Y75" s="1257" t="s">
        <v>1156</v>
      </c>
    </row>
    <row r="76" spans="2:28" ht="89.25" x14ac:dyDescent="0.25">
      <c r="B76" s="229"/>
      <c r="C76" s="674"/>
      <c r="D76" s="674"/>
      <c r="E76" s="674"/>
      <c r="F76" s="674"/>
      <c r="G76" s="173" t="s">
        <v>1261</v>
      </c>
      <c r="H76" s="173" t="s">
        <v>1262</v>
      </c>
      <c r="I76" s="1473" t="s">
        <v>1258</v>
      </c>
      <c r="J76" s="1246">
        <v>100</v>
      </c>
      <c r="K76" s="1246">
        <v>100</v>
      </c>
      <c r="L76" s="1246">
        <v>100000</v>
      </c>
      <c r="M76" s="1246">
        <v>100</v>
      </c>
      <c r="N76" s="1247">
        <v>110000</v>
      </c>
      <c r="O76" s="1246">
        <v>100</v>
      </c>
      <c r="P76" s="1247">
        <v>100000</v>
      </c>
      <c r="Q76" s="1246">
        <v>100</v>
      </c>
      <c r="R76" s="1247">
        <v>100000</v>
      </c>
      <c r="S76" s="1246">
        <v>100</v>
      </c>
      <c r="T76" s="1247">
        <v>100000</v>
      </c>
      <c r="U76" s="1246">
        <v>100</v>
      </c>
      <c r="V76" s="1247">
        <v>100000</v>
      </c>
      <c r="W76" s="168">
        <f t="shared" si="3"/>
        <v>600</v>
      </c>
      <c r="X76" s="173"/>
      <c r="Y76" s="1257" t="s">
        <v>1156</v>
      </c>
    </row>
    <row r="77" spans="2:28" ht="76.5" x14ac:dyDescent="0.25">
      <c r="B77" s="229"/>
      <c r="C77" s="674"/>
      <c r="D77" s="674"/>
      <c r="E77" s="674"/>
      <c r="F77" s="674"/>
      <c r="G77" s="673" t="s">
        <v>1263</v>
      </c>
      <c r="H77" s="1477" t="s">
        <v>1264</v>
      </c>
      <c r="I77" s="1473" t="s">
        <v>275</v>
      </c>
      <c r="J77" s="1246">
        <v>2</v>
      </c>
      <c r="K77" s="1246">
        <v>2</v>
      </c>
      <c r="L77" s="1246">
        <v>30000</v>
      </c>
      <c r="M77" s="1246">
        <v>2</v>
      </c>
      <c r="N77" s="1247">
        <v>33000</v>
      </c>
      <c r="O77" s="1246">
        <v>2</v>
      </c>
      <c r="P77" s="1247">
        <v>30000</v>
      </c>
      <c r="Q77" s="1246">
        <v>2</v>
      </c>
      <c r="R77" s="1247">
        <v>30000</v>
      </c>
      <c r="S77" s="1246">
        <v>2</v>
      </c>
      <c r="T77" s="1247">
        <v>30000</v>
      </c>
      <c r="U77" s="1246">
        <v>2</v>
      </c>
      <c r="V77" s="1247">
        <v>30000</v>
      </c>
      <c r="W77" s="168">
        <f t="shared" si="3"/>
        <v>12</v>
      </c>
      <c r="X77" s="173"/>
      <c r="Y77" s="1257" t="s">
        <v>1156</v>
      </c>
    </row>
    <row r="78" spans="2:28" ht="25.5" x14ac:dyDescent="0.25">
      <c r="B78" s="229"/>
      <c r="C78" s="674"/>
      <c r="D78" s="674"/>
      <c r="E78" s="674"/>
      <c r="F78" s="674"/>
      <c r="G78" s="1253"/>
      <c r="H78" s="1253"/>
      <c r="I78" s="1473" t="s">
        <v>1265</v>
      </c>
      <c r="J78" s="1246">
        <v>38</v>
      </c>
      <c r="K78" s="1246">
        <v>38</v>
      </c>
      <c r="L78" s="1247">
        <v>0</v>
      </c>
      <c r="M78" s="1246">
        <v>38</v>
      </c>
      <c r="N78" s="1247">
        <v>0</v>
      </c>
      <c r="O78" s="1246">
        <v>38</v>
      </c>
      <c r="P78" s="1247">
        <v>0</v>
      </c>
      <c r="Q78" s="1246">
        <v>38</v>
      </c>
      <c r="R78" s="1247">
        <v>0</v>
      </c>
      <c r="S78" s="1246">
        <v>38</v>
      </c>
      <c r="T78" s="1247">
        <v>0</v>
      </c>
      <c r="U78" s="1246">
        <v>38</v>
      </c>
      <c r="V78" s="1247">
        <v>0</v>
      </c>
      <c r="W78" s="168">
        <f t="shared" si="3"/>
        <v>228</v>
      </c>
      <c r="X78" s="173"/>
      <c r="Y78" s="1257" t="s">
        <v>1156</v>
      </c>
    </row>
    <row r="79" spans="2:28" ht="76.5" x14ac:dyDescent="0.25">
      <c r="B79" s="229"/>
      <c r="C79" s="674"/>
      <c r="D79" s="674"/>
      <c r="E79" s="674"/>
      <c r="F79" s="674"/>
      <c r="G79" s="173" t="s">
        <v>1266</v>
      </c>
      <c r="H79" s="1476" t="s">
        <v>1264</v>
      </c>
      <c r="I79" s="1473" t="s">
        <v>100</v>
      </c>
      <c r="J79" s="1246">
        <v>150</v>
      </c>
      <c r="K79" s="1246">
        <v>150</v>
      </c>
      <c r="L79" s="1247">
        <v>165000</v>
      </c>
      <c r="M79" s="1246">
        <v>150</v>
      </c>
      <c r="N79" s="1247">
        <v>181500</v>
      </c>
      <c r="O79" s="1246">
        <v>150</v>
      </c>
      <c r="P79" s="1247">
        <v>165000</v>
      </c>
      <c r="Q79" s="1246">
        <v>150</v>
      </c>
      <c r="R79" s="1247">
        <v>165000</v>
      </c>
      <c r="S79" s="1246">
        <v>150</v>
      </c>
      <c r="T79" s="1247">
        <v>165000</v>
      </c>
      <c r="U79" s="1246">
        <v>150</v>
      </c>
      <c r="V79" s="1247">
        <v>165000</v>
      </c>
      <c r="W79" s="168">
        <f t="shared" si="3"/>
        <v>900</v>
      </c>
      <c r="X79" s="173"/>
      <c r="Y79" s="1257" t="s">
        <v>1156</v>
      </c>
    </row>
    <row r="80" spans="2:28" ht="114.75" x14ac:dyDescent="0.25">
      <c r="B80" s="229"/>
      <c r="C80" s="674"/>
      <c r="D80" s="674"/>
      <c r="E80" s="674"/>
      <c r="F80" s="674"/>
      <c r="G80" s="173" t="s">
        <v>1267</v>
      </c>
      <c r="H80" s="1476" t="s">
        <v>1268</v>
      </c>
      <c r="I80" s="1473" t="s">
        <v>1269</v>
      </c>
      <c r="J80" s="1246">
        <v>0</v>
      </c>
      <c r="K80" s="1246">
        <v>1</v>
      </c>
      <c r="L80" s="1247">
        <v>75000</v>
      </c>
      <c r="M80" s="1246">
        <v>1</v>
      </c>
      <c r="N80" s="1247">
        <v>82500</v>
      </c>
      <c r="O80" s="1246">
        <v>1</v>
      </c>
      <c r="P80" s="1247">
        <v>50000</v>
      </c>
      <c r="Q80" s="1246">
        <v>1</v>
      </c>
      <c r="R80" s="1247">
        <v>50000</v>
      </c>
      <c r="S80" s="1246">
        <v>1</v>
      </c>
      <c r="T80" s="1247">
        <v>30000</v>
      </c>
      <c r="U80" s="1246">
        <v>0</v>
      </c>
      <c r="V80" s="1247">
        <v>0</v>
      </c>
      <c r="W80" s="168">
        <f t="shared" si="3"/>
        <v>5</v>
      </c>
      <c r="X80" s="173"/>
      <c r="Y80" s="1257" t="s">
        <v>1156</v>
      </c>
    </row>
    <row r="81" spans="2:25" ht="63.75" x14ac:dyDescent="0.25">
      <c r="B81" s="229"/>
      <c r="C81" s="674"/>
      <c r="D81" s="674"/>
      <c r="E81" s="674"/>
      <c r="F81" s="674"/>
      <c r="G81" s="673" t="s">
        <v>1270</v>
      </c>
      <c r="H81" s="1477" t="s">
        <v>1271</v>
      </c>
      <c r="I81" s="1473" t="s">
        <v>3090</v>
      </c>
      <c r="J81" s="1246">
        <v>100</v>
      </c>
      <c r="K81" s="1246">
        <v>100</v>
      </c>
      <c r="L81" s="1247">
        <v>350000</v>
      </c>
      <c r="M81" s="1246">
        <v>100</v>
      </c>
      <c r="N81" s="1247">
        <v>385000</v>
      </c>
      <c r="O81" s="1246">
        <v>100</v>
      </c>
      <c r="P81" s="1247">
        <v>350000</v>
      </c>
      <c r="Q81" s="1246">
        <v>100</v>
      </c>
      <c r="R81" s="1247">
        <v>350000</v>
      </c>
      <c r="S81" s="1246">
        <v>100</v>
      </c>
      <c r="T81" s="1247">
        <v>350000</v>
      </c>
      <c r="U81" s="1246">
        <v>100</v>
      </c>
      <c r="V81" s="1247">
        <v>350000</v>
      </c>
      <c r="W81" s="168">
        <f t="shared" si="3"/>
        <v>600</v>
      </c>
      <c r="X81" s="173"/>
      <c r="Y81" s="1257" t="s">
        <v>1156</v>
      </c>
    </row>
    <row r="82" spans="2:25" ht="25.5" x14ac:dyDescent="0.25">
      <c r="B82" s="229"/>
      <c r="C82" s="674"/>
      <c r="D82" s="674"/>
      <c r="E82" s="674"/>
      <c r="F82" s="674"/>
      <c r="G82" s="675"/>
      <c r="H82" s="1253"/>
      <c r="I82" s="1473" t="s">
        <v>3091</v>
      </c>
      <c r="J82" s="1246">
        <v>200</v>
      </c>
      <c r="K82" s="1246">
        <v>200</v>
      </c>
      <c r="L82" s="1247">
        <v>700000</v>
      </c>
      <c r="M82" s="1246">
        <v>200</v>
      </c>
      <c r="N82" s="1247">
        <v>770000</v>
      </c>
      <c r="O82" s="1246">
        <v>200</v>
      </c>
      <c r="P82" s="1247">
        <v>700000</v>
      </c>
      <c r="Q82" s="1246">
        <v>200</v>
      </c>
      <c r="R82" s="1247">
        <v>700000</v>
      </c>
      <c r="S82" s="1246">
        <v>200</v>
      </c>
      <c r="T82" s="1247">
        <v>700000</v>
      </c>
      <c r="U82" s="1246">
        <v>200</v>
      </c>
      <c r="V82" s="1247">
        <v>700000</v>
      </c>
      <c r="W82" s="168">
        <f t="shared" si="3"/>
        <v>1200</v>
      </c>
      <c r="X82" s="173"/>
      <c r="Y82" s="1257" t="s">
        <v>1156</v>
      </c>
    </row>
    <row r="83" spans="2:25" ht="76.5" x14ac:dyDescent="0.25">
      <c r="B83" s="229"/>
      <c r="C83" s="674"/>
      <c r="D83" s="674"/>
      <c r="E83" s="674"/>
      <c r="F83" s="1244"/>
      <c r="G83" s="173" t="s">
        <v>1273</v>
      </c>
      <c r="H83" s="1476" t="s">
        <v>3092</v>
      </c>
      <c r="I83" s="1473" t="s">
        <v>3093</v>
      </c>
      <c r="J83" s="1246">
        <v>1328</v>
      </c>
      <c r="K83" s="1246">
        <v>1328</v>
      </c>
      <c r="L83" s="1247">
        <v>2390399.9999999995</v>
      </c>
      <c r="M83" s="1246">
        <v>1328</v>
      </c>
      <c r="N83" s="1247">
        <v>2629439.9999999995</v>
      </c>
      <c r="O83" s="1246">
        <v>1328</v>
      </c>
      <c r="P83" s="1247">
        <v>2390399.9999999995</v>
      </c>
      <c r="Q83" s="1246">
        <v>1328</v>
      </c>
      <c r="R83" s="1247">
        <v>2390399.9999999995</v>
      </c>
      <c r="S83" s="1246">
        <v>1328</v>
      </c>
      <c r="T83" s="1247">
        <v>2390399.9999999995</v>
      </c>
      <c r="U83" s="1246">
        <v>1328</v>
      </c>
      <c r="V83" s="1247">
        <v>2390399.9999999995</v>
      </c>
      <c r="W83" s="168">
        <f t="shared" ref="W83:W88" si="4">U83</f>
        <v>1328</v>
      </c>
      <c r="X83" s="1473"/>
      <c r="Y83" s="1257" t="s">
        <v>1156</v>
      </c>
    </row>
    <row r="84" spans="2:25" ht="76.5" x14ac:dyDescent="0.25">
      <c r="B84" s="229"/>
      <c r="C84" s="674"/>
      <c r="D84" s="674"/>
      <c r="E84" s="674"/>
      <c r="F84" s="674"/>
      <c r="G84" s="673" t="s">
        <v>1274</v>
      </c>
      <c r="H84" s="1476" t="s">
        <v>1275</v>
      </c>
      <c r="I84" s="1473" t="s">
        <v>1276</v>
      </c>
      <c r="J84" s="1246">
        <f>500</f>
        <v>500</v>
      </c>
      <c r="K84" s="1246">
        <f>500</f>
        <v>500</v>
      </c>
      <c r="L84" s="1247">
        <v>600000</v>
      </c>
      <c r="M84" s="1246">
        <f>500</f>
        <v>500</v>
      </c>
      <c r="N84" s="1247">
        <v>660000</v>
      </c>
      <c r="O84" s="1246">
        <f>500</f>
        <v>500</v>
      </c>
      <c r="P84" s="1247">
        <v>600000</v>
      </c>
      <c r="Q84" s="1246">
        <v>500</v>
      </c>
      <c r="R84" s="1247">
        <v>600000</v>
      </c>
      <c r="S84" s="1246">
        <v>500</v>
      </c>
      <c r="T84" s="1247">
        <v>600000</v>
      </c>
      <c r="U84" s="1246">
        <v>500</v>
      </c>
      <c r="V84" s="1247">
        <v>600000</v>
      </c>
      <c r="W84" s="168">
        <f t="shared" si="4"/>
        <v>500</v>
      </c>
      <c r="X84" s="173"/>
      <c r="Y84" s="1257" t="s">
        <v>1156</v>
      </c>
    </row>
    <row r="85" spans="2:25" ht="89.25" x14ac:dyDescent="0.25">
      <c r="B85" s="229"/>
      <c r="C85" s="674"/>
      <c r="D85" s="674"/>
      <c r="E85" s="674"/>
      <c r="F85" s="674"/>
      <c r="G85" s="674"/>
      <c r="H85" s="1476" t="s">
        <v>3676</v>
      </c>
      <c r="I85" s="1473" t="s">
        <v>1276</v>
      </c>
      <c r="J85" s="1246">
        <v>2112</v>
      </c>
      <c r="K85" s="1246">
        <v>2112</v>
      </c>
      <c r="L85" s="1247">
        <v>5947800</v>
      </c>
      <c r="M85" s="1246">
        <v>2112</v>
      </c>
      <c r="N85" s="1247">
        <v>5947800</v>
      </c>
      <c r="O85" s="1246">
        <v>2112</v>
      </c>
      <c r="P85" s="1247">
        <v>5947800</v>
      </c>
      <c r="Q85" s="1246">
        <v>2112</v>
      </c>
      <c r="R85" s="1247">
        <v>5947800</v>
      </c>
      <c r="S85" s="1246">
        <v>2112</v>
      </c>
      <c r="T85" s="1247">
        <v>5947800</v>
      </c>
      <c r="U85" s="1246">
        <v>2112</v>
      </c>
      <c r="V85" s="1247">
        <v>5947800</v>
      </c>
      <c r="W85" s="168">
        <f t="shared" si="4"/>
        <v>2112</v>
      </c>
      <c r="X85" s="173"/>
      <c r="Y85" s="1257" t="s">
        <v>1156</v>
      </c>
    </row>
    <row r="86" spans="2:25" ht="102" x14ac:dyDescent="0.25">
      <c r="B86" s="229"/>
      <c r="C86" s="674"/>
      <c r="D86" s="674"/>
      <c r="E86" s="674"/>
      <c r="F86" s="674"/>
      <c r="G86" s="675"/>
      <c r="H86" s="1476" t="s">
        <v>3677</v>
      </c>
      <c r="I86" s="1473" t="s">
        <v>1276</v>
      </c>
      <c r="J86" s="1246">
        <v>218</v>
      </c>
      <c r="K86" s="1246">
        <v>218</v>
      </c>
      <c r="L86" s="1247">
        <v>546600</v>
      </c>
      <c r="M86" s="1246">
        <v>218</v>
      </c>
      <c r="N86" s="1247">
        <v>546600</v>
      </c>
      <c r="O86" s="1246">
        <v>218</v>
      </c>
      <c r="P86" s="1247">
        <v>546600</v>
      </c>
      <c r="Q86" s="1246">
        <v>218</v>
      </c>
      <c r="R86" s="1247">
        <v>546600</v>
      </c>
      <c r="S86" s="1246">
        <v>218</v>
      </c>
      <c r="T86" s="1247">
        <v>546600</v>
      </c>
      <c r="U86" s="1246">
        <v>218</v>
      </c>
      <c r="V86" s="1247">
        <v>546600</v>
      </c>
      <c r="W86" s="168">
        <f t="shared" si="4"/>
        <v>218</v>
      </c>
      <c r="X86" s="173"/>
      <c r="Y86" s="1257" t="s">
        <v>1156</v>
      </c>
    </row>
    <row r="87" spans="2:25" ht="51" x14ac:dyDescent="0.25">
      <c r="B87" s="229"/>
      <c r="C87" s="674"/>
      <c r="D87" s="674"/>
      <c r="E87" s="674"/>
      <c r="F87" s="674"/>
      <c r="G87" s="173" t="s">
        <v>1277</v>
      </c>
      <c r="H87" s="1476" t="s">
        <v>1278</v>
      </c>
      <c r="I87" s="1473" t="s">
        <v>1272</v>
      </c>
      <c r="J87" s="1246">
        <v>863</v>
      </c>
      <c r="K87" s="1246">
        <v>863</v>
      </c>
      <c r="L87" s="1247">
        <v>165000</v>
      </c>
      <c r="M87" s="1246">
        <v>838</v>
      </c>
      <c r="N87" s="1247">
        <v>181500</v>
      </c>
      <c r="O87" s="1246">
        <v>838</v>
      </c>
      <c r="P87" s="1247">
        <v>225000</v>
      </c>
      <c r="Q87" s="1246">
        <v>838</v>
      </c>
      <c r="R87" s="1247">
        <v>250000</v>
      </c>
      <c r="S87" s="1246">
        <v>838</v>
      </c>
      <c r="T87" s="1247">
        <v>275000</v>
      </c>
      <c r="U87" s="1246">
        <v>838</v>
      </c>
      <c r="V87" s="1247">
        <v>275000</v>
      </c>
      <c r="W87" s="168">
        <f t="shared" si="4"/>
        <v>838</v>
      </c>
      <c r="X87" s="173"/>
      <c r="Y87" s="1257" t="s">
        <v>1156</v>
      </c>
    </row>
    <row r="88" spans="2:25" ht="76.5" x14ac:dyDescent="0.25">
      <c r="B88" s="229"/>
      <c r="C88" s="674"/>
      <c r="D88" s="674"/>
      <c r="E88" s="674"/>
      <c r="F88" s="674"/>
      <c r="G88" s="173" t="s">
        <v>1279</v>
      </c>
      <c r="H88" s="1476" t="s">
        <v>1280</v>
      </c>
      <c r="I88" s="1473" t="s">
        <v>3094</v>
      </c>
      <c r="J88" s="1246" t="s">
        <v>3095</v>
      </c>
      <c r="K88" s="1246">
        <v>157</v>
      </c>
      <c r="L88" s="1247">
        <v>100000</v>
      </c>
      <c r="M88" s="1246">
        <v>157</v>
      </c>
      <c r="N88" s="1247">
        <v>110000</v>
      </c>
      <c r="O88" s="1246">
        <v>157</v>
      </c>
      <c r="P88" s="1247">
        <v>135000</v>
      </c>
      <c r="Q88" s="1246">
        <v>157</v>
      </c>
      <c r="R88" s="1247">
        <v>145000</v>
      </c>
      <c r="S88" s="1246">
        <v>157</v>
      </c>
      <c r="T88" s="1247">
        <v>155000</v>
      </c>
      <c r="U88" s="1246">
        <v>157</v>
      </c>
      <c r="V88" s="1247">
        <v>155000</v>
      </c>
      <c r="W88" s="168">
        <f t="shared" si="4"/>
        <v>157</v>
      </c>
      <c r="X88" s="173"/>
      <c r="Y88" s="1257" t="s">
        <v>1156</v>
      </c>
    </row>
    <row r="89" spans="2:25" ht="38.25" x14ac:dyDescent="0.25">
      <c r="B89" s="229"/>
      <c r="C89" s="674"/>
      <c r="D89" s="674"/>
      <c r="E89" s="674"/>
      <c r="F89" s="674"/>
      <c r="G89" s="673" t="s">
        <v>1284</v>
      </c>
      <c r="H89" s="173" t="s">
        <v>3168</v>
      </c>
      <c r="I89" s="1511" t="s">
        <v>19</v>
      </c>
      <c r="J89" s="1263">
        <v>75.599999999999994</v>
      </c>
      <c r="K89" s="1263">
        <v>76.5</v>
      </c>
      <c r="L89" s="1480">
        <f>SUM(L90:L93)</f>
        <v>595000</v>
      </c>
      <c r="M89" s="163">
        <v>78</v>
      </c>
      <c r="N89" s="1480">
        <f>SUM(N90:N93)</f>
        <v>635000</v>
      </c>
      <c r="O89" s="163">
        <v>79.5</v>
      </c>
      <c r="P89" s="1480">
        <f>SUM(P90:P93)</f>
        <v>679000</v>
      </c>
      <c r="Q89" s="163">
        <v>81</v>
      </c>
      <c r="R89" s="1480">
        <f>SUM(R90:R93)</f>
        <v>727400</v>
      </c>
      <c r="S89" s="163">
        <v>82.5</v>
      </c>
      <c r="T89" s="1480">
        <f>SUM(T90:T93)</f>
        <v>780640</v>
      </c>
      <c r="U89" s="163">
        <v>84</v>
      </c>
      <c r="V89" s="1480">
        <f>SUM(V90:V93)</f>
        <v>839204</v>
      </c>
      <c r="W89" s="163">
        <v>84</v>
      </c>
      <c r="X89" s="173"/>
      <c r="Y89" s="1257" t="s">
        <v>1156</v>
      </c>
    </row>
    <row r="90" spans="2:25" ht="76.5" x14ac:dyDescent="0.25">
      <c r="B90" s="229"/>
      <c r="C90" s="674"/>
      <c r="D90" s="674"/>
      <c r="E90" s="674"/>
      <c r="F90" s="674"/>
      <c r="G90" s="173" t="s">
        <v>1285</v>
      </c>
      <c r="H90" s="1476" t="s">
        <v>1286</v>
      </c>
      <c r="I90" s="1473" t="s">
        <v>275</v>
      </c>
      <c r="J90" s="1246">
        <v>1</v>
      </c>
      <c r="K90" s="1246">
        <v>1</v>
      </c>
      <c r="L90" s="1247">
        <v>200000</v>
      </c>
      <c r="M90" s="168">
        <v>1</v>
      </c>
      <c r="N90" s="1247">
        <v>220000</v>
      </c>
      <c r="O90" s="168">
        <v>1</v>
      </c>
      <c r="P90" s="1247">
        <v>242000</v>
      </c>
      <c r="Q90" s="168">
        <v>1</v>
      </c>
      <c r="R90" s="1247">
        <v>266200</v>
      </c>
      <c r="S90" s="168">
        <v>1</v>
      </c>
      <c r="T90" s="1247">
        <v>292820</v>
      </c>
      <c r="U90" s="168">
        <v>1</v>
      </c>
      <c r="V90" s="1247">
        <v>322102</v>
      </c>
      <c r="W90" s="168">
        <f>U90+S90+Q90+O90+M90+K90</f>
        <v>6</v>
      </c>
      <c r="X90" s="173"/>
      <c r="Y90" s="1257" t="s">
        <v>1156</v>
      </c>
    </row>
    <row r="91" spans="2:25" ht="63.75" x14ac:dyDescent="0.25">
      <c r="B91" s="229"/>
      <c r="C91" s="674"/>
      <c r="D91" s="674"/>
      <c r="E91" s="674"/>
      <c r="F91" s="674"/>
      <c r="G91" s="173" t="s">
        <v>3678</v>
      </c>
      <c r="H91" s="1476" t="s">
        <v>3679</v>
      </c>
      <c r="I91" s="1473" t="s">
        <v>100</v>
      </c>
      <c r="J91" s="1246">
        <v>779</v>
      </c>
      <c r="K91" s="1246">
        <v>864</v>
      </c>
      <c r="L91" s="1247">
        <v>195000</v>
      </c>
      <c r="M91" s="168">
        <v>864</v>
      </c>
      <c r="N91" s="1247">
        <v>195000</v>
      </c>
      <c r="O91" s="168">
        <v>864</v>
      </c>
      <c r="P91" s="1247">
        <v>195000</v>
      </c>
      <c r="Q91" s="168">
        <v>864</v>
      </c>
      <c r="R91" s="1247">
        <v>195000</v>
      </c>
      <c r="S91" s="168">
        <v>864</v>
      </c>
      <c r="T91" s="1247">
        <v>195000</v>
      </c>
      <c r="U91" s="168">
        <v>864</v>
      </c>
      <c r="V91" s="1247">
        <v>195000</v>
      </c>
      <c r="W91" s="168">
        <v>864</v>
      </c>
      <c r="X91" s="173"/>
      <c r="Y91" s="1257" t="s">
        <v>1156</v>
      </c>
    </row>
    <row r="92" spans="2:25" ht="63.75" x14ac:dyDescent="0.25">
      <c r="B92" s="229"/>
      <c r="C92" s="674"/>
      <c r="D92" s="674"/>
      <c r="E92" s="674"/>
      <c r="F92" s="674"/>
      <c r="G92" s="173" t="s">
        <v>107</v>
      </c>
      <c r="H92" s="1476" t="s">
        <v>1287</v>
      </c>
      <c r="I92" s="1473" t="s">
        <v>275</v>
      </c>
      <c r="J92" s="1246">
        <v>2</v>
      </c>
      <c r="K92" s="1246">
        <v>2</v>
      </c>
      <c r="L92" s="1247">
        <v>150000</v>
      </c>
      <c r="M92" s="168">
        <v>2</v>
      </c>
      <c r="N92" s="1247">
        <v>165000</v>
      </c>
      <c r="O92" s="168">
        <v>2</v>
      </c>
      <c r="P92" s="1247">
        <v>181500</v>
      </c>
      <c r="Q92" s="168">
        <v>2</v>
      </c>
      <c r="R92" s="1247">
        <v>199650</v>
      </c>
      <c r="S92" s="168">
        <v>2</v>
      </c>
      <c r="T92" s="1247">
        <v>219615</v>
      </c>
      <c r="U92" s="168">
        <v>2</v>
      </c>
      <c r="V92" s="1247">
        <v>241576.5</v>
      </c>
      <c r="W92" s="168">
        <f>U92+S92+Q92+O92+M92+K92</f>
        <v>12</v>
      </c>
      <c r="X92" s="173"/>
      <c r="Y92" s="1257" t="s">
        <v>1156</v>
      </c>
    </row>
    <row r="93" spans="2:25" ht="63.75" x14ac:dyDescent="0.25">
      <c r="B93" s="229"/>
      <c r="C93" s="674"/>
      <c r="D93" s="674"/>
      <c r="E93" s="674"/>
      <c r="F93" s="674"/>
      <c r="G93" s="173" t="s">
        <v>1288</v>
      </c>
      <c r="H93" s="1476" t="s">
        <v>1289</v>
      </c>
      <c r="I93" s="1473" t="s">
        <v>275</v>
      </c>
      <c r="J93" s="1246">
        <v>2</v>
      </c>
      <c r="K93" s="1246">
        <v>1</v>
      </c>
      <c r="L93" s="1247">
        <v>50000</v>
      </c>
      <c r="M93" s="168">
        <v>1</v>
      </c>
      <c r="N93" s="1247">
        <v>55000</v>
      </c>
      <c r="O93" s="168">
        <v>1</v>
      </c>
      <c r="P93" s="1247">
        <v>60500</v>
      </c>
      <c r="Q93" s="168">
        <v>1</v>
      </c>
      <c r="R93" s="1247">
        <v>66550</v>
      </c>
      <c r="S93" s="168">
        <v>1</v>
      </c>
      <c r="T93" s="1247">
        <v>73205</v>
      </c>
      <c r="U93" s="168">
        <v>1</v>
      </c>
      <c r="V93" s="1247">
        <v>80525.5</v>
      </c>
      <c r="W93" s="168">
        <f>U93+S93+Q93+O93+M93+K93</f>
        <v>6</v>
      </c>
      <c r="X93" s="173"/>
      <c r="Y93" s="1257" t="s">
        <v>1156</v>
      </c>
    </row>
    <row r="94" spans="2:25" x14ac:dyDescent="0.25">
      <c r="B94" s="229"/>
      <c r="C94" s="173"/>
      <c r="D94" s="173"/>
      <c r="E94" s="173"/>
      <c r="F94" s="1476"/>
      <c r="G94" s="1476"/>
      <c r="H94" s="1476"/>
      <c r="I94" s="1473"/>
      <c r="J94" s="1263"/>
      <c r="K94" s="1263"/>
      <c r="L94" s="1512"/>
      <c r="M94" s="1263"/>
      <c r="N94" s="1475"/>
      <c r="O94" s="1263"/>
      <c r="P94" s="1475"/>
      <c r="Q94" s="1263"/>
      <c r="R94" s="1475"/>
      <c r="S94" s="1263"/>
      <c r="T94" s="1475"/>
      <c r="U94" s="1263"/>
      <c r="V94" s="1475"/>
      <c r="W94" s="1263"/>
      <c r="X94" s="1473"/>
      <c r="Y94" s="1257" t="s">
        <v>1156</v>
      </c>
    </row>
    <row r="95" spans="2:25" ht="63.75" x14ac:dyDescent="0.25">
      <c r="B95" s="229"/>
      <c r="C95" s="173" t="s">
        <v>3816</v>
      </c>
      <c r="D95" s="173" t="s">
        <v>3814</v>
      </c>
      <c r="E95" s="173" t="s">
        <v>3815</v>
      </c>
      <c r="F95" s="173" t="s">
        <v>1305</v>
      </c>
      <c r="G95" s="173" t="s">
        <v>3131</v>
      </c>
      <c r="H95" s="173"/>
      <c r="I95" s="1473" t="s">
        <v>19</v>
      </c>
      <c r="J95" s="1245">
        <v>37.5</v>
      </c>
      <c r="K95" s="1245">
        <v>37.5</v>
      </c>
      <c r="L95" s="1247"/>
      <c r="M95" s="163">
        <v>40.630000000000003</v>
      </c>
      <c r="N95" s="1247"/>
      <c r="O95" s="163">
        <v>40.630000000000003</v>
      </c>
      <c r="P95" s="1247"/>
      <c r="Q95" s="163">
        <v>43.75</v>
      </c>
      <c r="R95" s="1247"/>
      <c r="S95" s="163">
        <v>43.75</v>
      </c>
      <c r="T95" s="1247"/>
      <c r="U95" s="163">
        <v>43.75</v>
      </c>
      <c r="V95" s="1247"/>
      <c r="W95" s="163">
        <v>43.75</v>
      </c>
      <c r="X95" s="173"/>
      <c r="Y95" s="1257" t="s">
        <v>1156</v>
      </c>
    </row>
    <row r="96" spans="2:25" ht="51" x14ac:dyDescent="0.25">
      <c r="B96" s="229"/>
      <c r="C96" s="674"/>
      <c r="D96" s="674"/>
      <c r="E96" s="674"/>
      <c r="F96" s="674"/>
      <c r="G96" s="173" t="s">
        <v>1302</v>
      </c>
      <c r="H96" s="173" t="s">
        <v>1303</v>
      </c>
      <c r="I96" s="1473" t="s">
        <v>1304</v>
      </c>
      <c r="J96" s="1246">
        <v>40</v>
      </c>
      <c r="K96" s="1246">
        <f>40</f>
        <v>40</v>
      </c>
      <c r="L96" s="1247">
        <f>SUM(L97:L97)</f>
        <v>25000</v>
      </c>
      <c r="M96" s="168">
        <f>40</f>
        <v>40</v>
      </c>
      <c r="N96" s="1247">
        <f>SUM(N97:N97)</f>
        <v>27500</v>
      </c>
      <c r="O96" s="168">
        <f>40</f>
        <v>40</v>
      </c>
      <c r="P96" s="1247">
        <f>SUM(P97:P97)</f>
        <v>30250</v>
      </c>
      <c r="Q96" s="168">
        <f>40</f>
        <v>40</v>
      </c>
      <c r="R96" s="1247">
        <f>SUM(R97:R97)</f>
        <v>33275</v>
      </c>
      <c r="S96" s="168">
        <f>40</f>
        <v>40</v>
      </c>
      <c r="T96" s="1247">
        <f>SUM(T97:T97)</f>
        <v>36602.5</v>
      </c>
      <c r="U96" s="168">
        <f>40</f>
        <v>40</v>
      </c>
      <c r="V96" s="1247">
        <f>SUM(V97:V97)</f>
        <v>40262.75</v>
      </c>
      <c r="W96" s="163">
        <f>U96+S96+Q96+O96+M96+K96</f>
        <v>240</v>
      </c>
      <c r="X96" s="173"/>
      <c r="Y96" s="1257" t="s">
        <v>1156</v>
      </c>
    </row>
    <row r="97" spans="2:51" ht="38.25" x14ac:dyDescent="0.25">
      <c r="B97" s="229"/>
      <c r="C97" s="674"/>
      <c r="D97" s="674"/>
      <c r="E97" s="674"/>
      <c r="F97" s="674"/>
      <c r="G97" s="173" t="s">
        <v>1307</v>
      </c>
      <c r="H97" s="173" t="s">
        <v>1308</v>
      </c>
      <c r="I97" s="1473" t="s">
        <v>275</v>
      </c>
      <c r="J97" s="1247">
        <v>1</v>
      </c>
      <c r="K97" s="1247">
        <v>1</v>
      </c>
      <c r="L97" s="1247">
        <v>25000</v>
      </c>
      <c r="M97" s="168">
        <v>1</v>
      </c>
      <c r="N97" s="1247">
        <v>27500</v>
      </c>
      <c r="O97" s="168">
        <v>1</v>
      </c>
      <c r="P97" s="1247">
        <v>30250</v>
      </c>
      <c r="Q97" s="168">
        <v>1</v>
      </c>
      <c r="R97" s="1247">
        <v>33275</v>
      </c>
      <c r="S97" s="168">
        <v>1</v>
      </c>
      <c r="T97" s="1247">
        <v>36602.5</v>
      </c>
      <c r="U97" s="168">
        <v>1</v>
      </c>
      <c r="V97" s="1247">
        <v>40262.75</v>
      </c>
      <c r="W97" s="163"/>
      <c r="X97" s="173"/>
      <c r="Y97" s="1257" t="s">
        <v>1156</v>
      </c>
    </row>
    <row r="98" spans="2:51" ht="102" x14ac:dyDescent="0.25">
      <c r="B98" s="229"/>
      <c r="C98" s="674"/>
      <c r="D98" s="674"/>
      <c r="E98" s="674"/>
      <c r="F98" s="674"/>
      <c r="G98" s="173" t="s">
        <v>1309</v>
      </c>
      <c r="H98" s="1476" t="s">
        <v>1310</v>
      </c>
      <c r="I98" s="1473" t="s">
        <v>1311</v>
      </c>
      <c r="J98" s="1246">
        <v>50</v>
      </c>
      <c r="K98" s="1246">
        <v>60</v>
      </c>
      <c r="L98" s="1247">
        <f>SUM(L99:L101)</f>
        <v>1116510</v>
      </c>
      <c r="M98" s="168">
        <v>60</v>
      </c>
      <c r="N98" s="1247">
        <f>SUM(N99:N101)</f>
        <v>1228161</v>
      </c>
      <c r="O98" s="168">
        <v>70</v>
      </c>
      <c r="P98" s="1247">
        <f>SUM(P99:P101)</f>
        <v>1350977.1</v>
      </c>
      <c r="Q98" s="168">
        <v>70</v>
      </c>
      <c r="R98" s="1247">
        <f>SUM(R99:R101)</f>
        <v>1486074.81</v>
      </c>
      <c r="S98" s="168">
        <v>75</v>
      </c>
      <c r="T98" s="1247">
        <f>SUM(T99:T101)</f>
        <v>1634682.2909999997</v>
      </c>
      <c r="U98" s="168">
        <v>75</v>
      </c>
      <c r="V98" s="1247">
        <f>SUM(V99:V101)</f>
        <v>1798150.5200999998</v>
      </c>
      <c r="W98" s="163">
        <v>350</v>
      </c>
      <c r="X98" s="173"/>
      <c r="Y98" s="1257" t="s">
        <v>1156</v>
      </c>
    </row>
    <row r="99" spans="2:51" ht="63.75" x14ac:dyDescent="0.25">
      <c r="B99" s="229"/>
      <c r="C99" s="674"/>
      <c r="D99" s="674"/>
      <c r="E99" s="674"/>
      <c r="F99" s="674"/>
      <c r="G99" s="173" t="s">
        <v>1312</v>
      </c>
      <c r="H99" s="173" t="s">
        <v>1313</v>
      </c>
      <c r="I99" s="1473" t="s">
        <v>427</v>
      </c>
      <c r="J99" s="1246">
        <v>100</v>
      </c>
      <c r="K99" s="1246">
        <v>100</v>
      </c>
      <c r="L99" s="1247">
        <v>122250</v>
      </c>
      <c r="M99" s="168">
        <v>100</v>
      </c>
      <c r="N99" s="1247">
        <v>134475</v>
      </c>
      <c r="O99" s="168">
        <v>100</v>
      </c>
      <c r="P99" s="1247">
        <v>147922.5</v>
      </c>
      <c r="Q99" s="168">
        <v>100</v>
      </c>
      <c r="R99" s="1247">
        <v>162714.75</v>
      </c>
      <c r="S99" s="168">
        <v>100</v>
      </c>
      <c r="T99" s="1247">
        <v>178986.22500000001</v>
      </c>
      <c r="U99" s="168">
        <v>100</v>
      </c>
      <c r="V99" s="1247">
        <v>196884.8475</v>
      </c>
      <c r="W99" s="163"/>
      <c r="X99" s="173"/>
      <c r="Y99" s="1257" t="s">
        <v>1156</v>
      </c>
    </row>
    <row r="100" spans="2:51" ht="51" x14ac:dyDescent="0.25">
      <c r="B100" s="229"/>
      <c r="C100" s="674"/>
      <c r="D100" s="674"/>
      <c r="E100" s="674"/>
      <c r="F100" s="674"/>
      <c r="G100" s="173" t="s">
        <v>1307</v>
      </c>
      <c r="H100" s="173" t="s">
        <v>1314</v>
      </c>
      <c r="I100" s="1473" t="s">
        <v>1306</v>
      </c>
      <c r="J100" s="1246">
        <v>32</v>
      </c>
      <c r="K100" s="1246">
        <f>32</f>
        <v>32</v>
      </c>
      <c r="L100" s="1247">
        <v>426000</v>
      </c>
      <c r="M100" s="168">
        <f>32</f>
        <v>32</v>
      </c>
      <c r="N100" s="1247">
        <v>468600</v>
      </c>
      <c r="O100" s="168">
        <f>32</f>
        <v>32</v>
      </c>
      <c r="P100" s="1247">
        <v>515460</v>
      </c>
      <c r="Q100" s="168">
        <f>32</f>
        <v>32</v>
      </c>
      <c r="R100" s="1247">
        <v>567006</v>
      </c>
      <c r="S100" s="168">
        <f>32</f>
        <v>32</v>
      </c>
      <c r="T100" s="1247">
        <v>623706.6</v>
      </c>
      <c r="U100" s="168">
        <f>32</f>
        <v>32</v>
      </c>
      <c r="V100" s="1247">
        <v>686077.26</v>
      </c>
      <c r="W100" s="163"/>
      <c r="X100" s="173"/>
      <c r="Y100" s="1257" t="s">
        <v>1156</v>
      </c>
    </row>
    <row r="101" spans="2:51" ht="102" x14ac:dyDescent="0.25">
      <c r="B101" s="229"/>
      <c r="C101" s="674"/>
      <c r="D101" s="674"/>
      <c r="E101" s="674"/>
      <c r="F101" s="674"/>
      <c r="G101" s="173" t="s">
        <v>1315</v>
      </c>
      <c r="H101" s="173" t="s">
        <v>1316</v>
      </c>
      <c r="I101" s="1473" t="s">
        <v>275</v>
      </c>
      <c r="J101" s="1246">
        <v>3</v>
      </c>
      <c r="K101" s="1246">
        <v>3</v>
      </c>
      <c r="L101" s="1247">
        <v>568260</v>
      </c>
      <c r="M101" s="168">
        <v>3</v>
      </c>
      <c r="N101" s="1247">
        <v>625086</v>
      </c>
      <c r="O101" s="168">
        <v>3</v>
      </c>
      <c r="P101" s="1247">
        <v>687594.6</v>
      </c>
      <c r="Q101" s="168">
        <v>3</v>
      </c>
      <c r="R101" s="1247">
        <v>756354.05999999994</v>
      </c>
      <c r="S101" s="168">
        <v>3</v>
      </c>
      <c r="T101" s="1247">
        <v>831989.4659999999</v>
      </c>
      <c r="U101" s="168">
        <v>3</v>
      </c>
      <c r="V101" s="1247">
        <v>915188.41259999992</v>
      </c>
      <c r="W101" s="163"/>
      <c r="X101" s="173"/>
      <c r="Y101" s="1257" t="s">
        <v>1156</v>
      </c>
    </row>
    <row r="102" spans="2:51" ht="63.75" x14ac:dyDescent="0.25">
      <c r="B102" s="229"/>
      <c r="C102" s="674"/>
      <c r="D102" s="674"/>
      <c r="E102" s="674"/>
      <c r="F102" s="674"/>
      <c r="G102" s="173" t="s">
        <v>1317</v>
      </c>
      <c r="H102" s="1476" t="s">
        <v>3096</v>
      </c>
      <c r="I102" s="1473" t="s">
        <v>3097</v>
      </c>
      <c r="J102" s="1480">
        <v>10</v>
      </c>
      <c r="K102" s="1246">
        <f>K103+K104+K106</f>
        <v>10</v>
      </c>
      <c r="L102" s="1247">
        <f>SUM(L103:L106)</f>
        <v>347250</v>
      </c>
      <c r="M102" s="1246">
        <f>M103+M104+M106</f>
        <v>10</v>
      </c>
      <c r="N102" s="1247">
        <f>SUM(N103:N106)</f>
        <v>381975</v>
      </c>
      <c r="O102" s="1246">
        <f>O103+O104+O106</f>
        <v>10</v>
      </c>
      <c r="P102" s="1247">
        <f>SUM(P103:P106)</f>
        <v>372922.5</v>
      </c>
      <c r="Q102" s="1246">
        <f>Q103+Q104+Q106</f>
        <v>10</v>
      </c>
      <c r="R102" s="1247">
        <f>SUM(R103:R106)</f>
        <v>387714.75</v>
      </c>
      <c r="S102" s="1246">
        <f>S103+S104+S106</f>
        <v>10</v>
      </c>
      <c r="T102" s="1247">
        <f>SUM(T103:T106)</f>
        <v>403986.22499999998</v>
      </c>
      <c r="U102" s="1246">
        <f>U103+U104+U106</f>
        <v>10</v>
      </c>
      <c r="V102" s="1247">
        <f>SUM(V103:V106)</f>
        <v>419000</v>
      </c>
      <c r="W102" s="168">
        <f>U102</f>
        <v>10</v>
      </c>
      <c r="X102" s="173"/>
      <c r="Y102" s="1257" t="s">
        <v>1156</v>
      </c>
    </row>
    <row r="103" spans="2:51" ht="38.25" x14ac:dyDescent="0.25">
      <c r="B103" s="229"/>
      <c r="C103" s="674"/>
      <c r="D103" s="674"/>
      <c r="E103" s="674"/>
      <c r="F103" s="674"/>
      <c r="G103" s="173" t="s">
        <v>1318</v>
      </c>
      <c r="H103" s="173" t="s">
        <v>1318</v>
      </c>
      <c r="I103" s="1473" t="s">
        <v>3097</v>
      </c>
      <c r="J103" s="1245">
        <v>0</v>
      </c>
      <c r="K103" s="1246">
        <v>2</v>
      </c>
      <c r="L103" s="1247">
        <v>50000</v>
      </c>
      <c r="M103" s="168">
        <v>2</v>
      </c>
      <c r="N103" s="1247">
        <v>55000</v>
      </c>
      <c r="O103" s="168">
        <v>2</v>
      </c>
      <c r="P103" s="1247">
        <v>50000</v>
      </c>
      <c r="Q103" s="168">
        <v>2</v>
      </c>
      <c r="R103" s="1247">
        <v>50000</v>
      </c>
      <c r="S103" s="168">
        <v>2</v>
      </c>
      <c r="T103" s="1247">
        <v>50000</v>
      </c>
      <c r="U103" s="168">
        <v>2</v>
      </c>
      <c r="V103" s="1247">
        <v>50000</v>
      </c>
      <c r="W103" s="168">
        <f>U103+S103+Q103+O103+M103+K103</f>
        <v>12</v>
      </c>
      <c r="X103" s="173"/>
      <c r="Y103" s="1257" t="s">
        <v>1156</v>
      </c>
    </row>
    <row r="104" spans="2:51" ht="51" x14ac:dyDescent="0.25">
      <c r="B104" s="229"/>
      <c r="C104" s="674"/>
      <c r="D104" s="674"/>
      <c r="E104" s="674"/>
      <c r="F104" s="674"/>
      <c r="G104" s="173" t="s">
        <v>1319</v>
      </c>
      <c r="H104" s="173" t="s">
        <v>1319</v>
      </c>
      <c r="I104" s="1473" t="s">
        <v>3097</v>
      </c>
      <c r="J104" s="1245">
        <v>0</v>
      </c>
      <c r="K104" s="1246">
        <v>2</v>
      </c>
      <c r="L104" s="1247">
        <v>75000</v>
      </c>
      <c r="M104" s="168">
        <v>2</v>
      </c>
      <c r="N104" s="1247">
        <v>82500</v>
      </c>
      <c r="O104" s="168">
        <v>2</v>
      </c>
      <c r="P104" s="1247">
        <v>75000</v>
      </c>
      <c r="Q104" s="168">
        <v>2</v>
      </c>
      <c r="R104" s="1247">
        <v>75000</v>
      </c>
      <c r="S104" s="168">
        <v>2</v>
      </c>
      <c r="T104" s="1247">
        <v>75000</v>
      </c>
      <c r="U104" s="168">
        <v>2</v>
      </c>
      <c r="V104" s="1247">
        <v>75000</v>
      </c>
      <c r="W104" s="168">
        <f>U104+S104+Q104+O104+M104+K104</f>
        <v>12</v>
      </c>
      <c r="X104" s="173"/>
      <c r="Y104" s="1257" t="s">
        <v>1156</v>
      </c>
    </row>
    <row r="105" spans="2:51" ht="127.5" x14ac:dyDescent="0.25">
      <c r="B105" s="229"/>
      <c r="C105" s="674"/>
      <c r="D105" s="674"/>
      <c r="E105" s="674"/>
      <c r="F105" s="674"/>
      <c r="G105" s="173" t="s">
        <v>1320</v>
      </c>
      <c r="H105" s="173" t="s">
        <v>1320</v>
      </c>
      <c r="I105" s="1473" t="s">
        <v>1297</v>
      </c>
      <c r="J105" s="1245"/>
      <c r="K105" s="1246">
        <v>5</v>
      </c>
      <c r="L105" s="1247">
        <v>122250</v>
      </c>
      <c r="M105" s="168">
        <v>5</v>
      </c>
      <c r="N105" s="1247">
        <v>134475</v>
      </c>
      <c r="O105" s="168">
        <v>4</v>
      </c>
      <c r="P105" s="1247">
        <v>147922.5</v>
      </c>
      <c r="Q105" s="168">
        <v>4</v>
      </c>
      <c r="R105" s="1247">
        <v>162714.75</v>
      </c>
      <c r="S105" s="168">
        <v>4</v>
      </c>
      <c r="T105" s="1247">
        <v>178986.22500000001</v>
      </c>
      <c r="U105" s="168">
        <v>4</v>
      </c>
      <c r="V105" s="1247">
        <v>194000</v>
      </c>
      <c r="W105" s="168">
        <f>U105</f>
        <v>4</v>
      </c>
      <c r="X105" s="173"/>
      <c r="Y105" s="1257" t="s">
        <v>1156</v>
      </c>
    </row>
    <row r="106" spans="2:51" ht="63.75" x14ac:dyDescent="0.25">
      <c r="B106" s="229"/>
      <c r="C106" s="674"/>
      <c r="D106" s="674"/>
      <c r="E106" s="674"/>
      <c r="F106" s="674"/>
      <c r="G106" s="173" t="s">
        <v>1321</v>
      </c>
      <c r="H106" s="173" t="s">
        <v>1321</v>
      </c>
      <c r="I106" s="1473" t="s">
        <v>219</v>
      </c>
      <c r="J106" s="1245"/>
      <c r="K106" s="1246">
        <v>6</v>
      </c>
      <c r="L106" s="1247">
        <v>100000</v>
      </c>
      <c r="M106" s="168">
        <v>6</v>
      </c>
      <c r="N106" s="1247">
        <v>110000</v>
      </c>
      <c r="O106" s="168">
        <v>6</v>
      </c>
      <c r="P106" s="1247">
        <v>100000</v>
      </c>
      <c r="Q106" s="168">
        <v>6</v>
      </c>
      <c r="R106" s="1247">
        <v>100000</v>
      </c>
      <c r="S106" s="168">
        <v>6</v>
      </c>
      <c r="T106" s="1247">
        <v>100000</v>
      </c>
      <c r="U106" s="168">
        <v>6</v>
      </c>
      <c r="V106" s="1247">
        <v>100000</v>
      </c>
      <c r="W106" s="168">
        <f>U106+S106+Q106+O106+M106+K106</f>
        <v>36</v>
      </c>
      <c r="X106" s="173"/>
      <c r="Y106" s="1257" t="s">
        <v>1156</v>
      </c>
    </row>
    <row r="107" spans="2:51" x14ac:dyDescent="0.25">
      <c r="B107" s="229"/>
      <c r="C107" s="674"/>
      <c r="D107" s="674"/>
      <c r="E107" s="674"/>
      <c r="F107" s="674"/>
      <c r="G107" s="173"/>
      <c r="H107" s="173"/>
      <c r="I107" s="1473"/>
      <c r="J107" s="1245"/>
      <c r="K107" s="1246"/>
      <c r="L107" s="1247"/>
      <c r="M107" s="168"/>
      <c r="N107" s="1247"/>
      <c r="O107" s="168"/>
      <c r="P107" s="1247"/>
      <c r="Q107" s="168"/>
      <c r="R107" s="1247"/>
      <c r="S107" s="168"/>
      <c r="T107" s="1247"/>
      <c r="U107" s="168"/>
      <c r="V107" s="1247"/>
      <c r="W107" s="168"/>
      <c r="X107" s="173"/>
      <c r="Y107" s="1257" t="s">
        <v>1156</v>
      </c>
    </row>
    <row r="108" spans="2:51" ht="76.5" x14ac:dyDescent="0.25">
      <c r="B108" s="229"/>
      <c r="C108" s="674"/>
      <c r="D108" s="173" t="s">
        <v>3817</v>
      </c>
      <c r="E108" s="173" t="s">
        <v>3818</v>
      </c>
      <c r="F108" s="173" t="s">
        <v>1296</v>
      </c>
      <c r="G108" s="1473" t="s">
        <v>3132</v>
      </c>
      <c r="H108" s="173"/>
      <c r="I108" s="1473" t="s">
        <v>19</v>
      </c>
      <c r="J108" s="1245">
        <v>41.666666666666671</v>
      </c>
      <c r="K108" s="1245">
        <v>50</v>
      </c>
      <c r="L108" s="1247"/>
      <c r="M108" s="163">
        <v>50</v>
      </c>
      <c r="N108" s="1247"/>
      <c r="O108" s="163">
        <v>58.333333333333336</v>
      </c>
      <c r="P108" s="1247"/>
      <c r="Q108" s="163">
        <v>58.333333333333336</v>
      </c>
      <c r="R108" s="1247"/>
      <c r="S108" s="163">
        <v>58.333333333333336</v>
      </c>
      <c r="T108" s="1247"/>
      <c r="U108" s="163">
        <v>58.333333333333336</v>
      </c>
      <c r="V108" s="1247"/>
      <c r="W108" s="163">
        <v>58.333333333333336</v>
      </c>
      <c r="X108" s="173"/>
      <c r="Y108" s="1257" t="s">
        <v>1156</v>
      </c>
    </row>
    <row r="109" spans="2:51" ht="63.75" x14ac:dyDescent="0.25">
      <c r="B109" s="229"/>
      <c r="C109" s="674"/>
      <c r="D109" s="674"/>
      <c r="E109" s="674"/>
      <c r="F109" s="674"/>
      <c r="G109" s="673" t="s">
        <v>1294</v>
      </c>
      <c r="H109" s="1476" t="s">
        <v>3110</v>
      </c>
      <c r="I109" s="1473" t="s">
        <v>1295</v>
      </c>
      <c r="J109" s="1246">
        <v>130</v>
      </c>
      <c r="K109" s="1246">
        <v>120</v>
      </c>
      <c r="L109" s="1247">
        <f>SUM(L110:L113)</f>
        <v>525000</v>
      </c>
      <c r="M109" s="168">
        <v>120</v>
      </c>
      <c r="N109" s="1247">
        <f>SUM(N110:N113)</f>
        <v>577500</v>
      </c>
      <c r="O109" s="168">
        <v>120</v>
      </c>
      <c r="P109" s="1247">
        <f>SUM(P110:P113)</f>
        <v>684250</v>
      </c>
      <c r="Q109" s="168">
        <v>120</v>
      </c>
      <c r="R109" s="1247">
        <f>SUM(R110:R113)</f>
        <v>750675</v>
      </c>
      <c r="S109" s="168">
        <v>120</v>
      </c>
      <c r="T109" s="1247">
        <f>SUM(T110:T113)</f>
        <v>822242.5</v>
      </c>
      <c r="U109" s="168">
        <v>120</v>
      </c>
      <c r="V109" s="1247">
        <f>SUM(V110:V113)</f>
        <v>884466.75</v>
      </c>
      <c r="W109" s="168">
        <f>U109+S109+Q109+O109+M109+K109</f>
        <v>720</v>
      </c>
      <c r="X109" s="173"/>
      <c r="Y109" s="1257" t="s">
        <v>1156</v>
      </c>
    </row>
    <row r="110" spans="2:51" ht="38.25" x14ac:dyDescent="0.25">
      <c r="B110" s="229"/>
      <c r="C110" s="674"/>
      <c r="D110" s="674"/>
      <c r="E110" s="674"/>
      <c r="F110" s="674"/>
      <c r="G110" s="173" t="s">
        <v>1298</v>
      </c>
      <c r="H110" s="173" t="s">
        <v>1298</v>
      </c>
      <c r="I110" s="1473" t="s">
        <v>275</v>
      </c>
      <c r="J110" s="1246">
        <f>9</f>
        <v>9</v>
      </c>
      <c r="K110" s="1246">
        <f>9</f>
        <v>9</v>
      </c>
      <c r="L110" s="1247">
        <v>225000</v>
      </c>
      <c r="M110" s="168">
        <f>9</f>
        <v>9</v>
      </c>
      <c r="N110" s="1247">
        <v>247500</v>
      </c>
      <c r="O110" s="168">
        <f>9</f>
        <v>9</v>
      </c>
      <c r="P110" s="1247">
        <v>272250</v>
      </c>
      <c r="Q110" s="168">
        <f>9</f>
        <v>9</v>
      </c>
      <c r="R110" s="1247">
        <v>299475</v>
      </c>
      <c r="S110" s="168">
        <f>9</f>
        <v>9</v>
      </c>
      <c r="T110" s="1247">
        <v>329422.5</v>
      </c>
      <c r="U110" s="168">
        <f>9</f>
        <v>9</v>
      </c>
      <c r="V110" s="1247">
        <v>362364.75</v>
      </c>
      <c r="W110" s="163"/>
      <c r="X110" s="173"/>
      <c r="Y110" s="1257" t="s">
        <v>1156</v>
      </c>
    </row>
    <row r="111" spans="2:51" ht="51" x14ac:dyDescent="0.25">
      <c r="B111" s="229"/>
      <c r="C111" s="674"/>
      <c r="D111" s="674"/>
      <c r="E111" s="674"/>
      <c r="F111" s="674"/>
      <c r="G111" s="173" t="s">
        <v>1299</v>
      </c>
      <c r="H111" s="173" t="s">
        <v>1299</v>
      </c>
      <c r="I111" s="1473" t="s">
        <v>275</v>
      </c>
      <c r="J111" s="1246">
        <v>6</v>
      </c>
      <c r="K111" s="1246">
        <v>6</v>
      </c>
      <c r="L111" s="1247">
        <v>100000</v>
      </c>
      <c r="M111" s="168">
        <v>6</v>
      </c>
      <c r="N111" s="1247">
        <v>110000</v>
      </c>
      <c r="O111" s="168">
        <v>6</v>
      </c>
      <c r="P111" s="1247">
        <v>170000</v>
      </c>
      <c r="Q111" s="168">
        <v>6</v>
      </c>
      <c r="R111" s="1247">
        <v>185000</v>
      </c>
      <c r="S111" s="168">
        <v>6</v>
      </c>
      <c r="T111" s="1247">
        <v>200000</v>
      </c>
      <c r="U111" s="168">
        <v>6</v>
      </c>
      <c r="V111" s="1247">
        <v>200000</v>
      </c>
      <c r="W111" s="163"/>
      <c r="X111" s="173"/>
      <c r="Y111" s="1257" t="s">
        <v>1156</v>
      </c>
      <c r="AB111" s="229"/>
      <c r="AC111" s="674"/>
      <c r="AD111" s="674"/>
      <c r="AE111" s="674"/>
      <c r="AF111" s="675"/>
      <c r="AG111" s="173"/>
      <c r="AH111" s="173"/>
      <c r="AI111" s="1473"/>
      <c r="AJ111" s="1246"/>
      <c r="AK111" s="1246"/>
      <c r="AL111" s="1247"/>
      <c r="AM111" s="168"/>
      <c r="AN111" s="1247"/>
      <c r="AO111" s="168"/>
      <c r="AP111" s="1247"/>
      <c r="AQ111" s="168"/>
      <c r="AR111" s="1247"/>
      <c r="AS111" s="168"/>
      <c r="AT111" s="1247"/>
      <c r="AU111" s="168"/>
      <c r="AV111" s="1247"/>
      <c r="AW111" s="163"/>
      <c r="AX111" s="173"/>
      <c r="AY111" s="1257" t="s">
        <v>1156</v>
      </c>
    </row>
    <row r="112" spans="2:51" ht="38.25" x14ac:dyDescent="0.25">
      <c r="B112" s="229"/>
      <c r="C112" s="674"/>
      <c r="D112" s="674"/>
      <c r="E112" s="674"/>
      <c r="F112" s="674"/>
      <c r="G112" s="173" t="s">
        <v>1300</v>
      </c>
      <c r="H112" s="173" t="s">
        <v>1300</v>
      </c>
      <c r="I112" s="1473" t="s">
        <v>275</v>
      </c>
      <c r="J112" s="1246">
        <v>10</v>
      </c>
      <c r="K112" s="1246">
        <v>10</v>
      </c>
      <c r="L112" s="1247">
        <v>100000</v>
      </c>
      <c r="M112" s="168">
        <v>10</v>
      </c>
      <c r="N112" s="1247">
        <v>110000</v>
      </c>
      <c r="O112" s="168">
        <v>10</v>
      </c>
      <c r="P112" s="1247">
        <v>121000</v>
      </c>
      <c r="Q112" s="168">
        <v>10</v>
      </c>
      <c r="R112" s="1247">
        <v>133100</v>
      </c>
      <c r="S112" s="168">
        <v>10</v>
      </c>
      <c r="T112" s="1247">
        <v>146410</v>
      </c>
      <c r="U112" s="168">
        <v>10</v>
      </c>
      <c r="V112" s="1247">
        <v>161051</v>
      </c>
      <c r="W112" s="163"/>
      <c r="X112" s="173"/>
      <c r="Y112" s="1257" t="s">
        <v>1156</v>
      </c>
      <c r="AB112" s="1195"/>
      <c r="AC112" s="675"/>
      <c r="AD112" s="675"/>
      <c r="AE112" s="675"/>
      <c r="AF112" s="1476" t="s">
        <v>3109</v>
      </c>
      <c r="AG112" s="674" t="s">
        <v>3108</v>
      </c>
      <c r="AH112" s="1476" t="s">
        <v>3109</v>
      </c>
      <c r="AI112" s="1473" t="s">
        <v>19</v>
      </c>
      <c r="AJ112" s="1263">
        <v>1.8195043565402496</v>
      </c>
      <c r="AK112" s="1263">
        <v>1.8838525072545322</v>
      </c>
      <c r="AL112" s="1447">
        <v>2500000</v>
      </c>
      <c r="AM112" s="1263">
        <v>1.9480892391524027</v>
      </c>
      <c r="AN112" s="1447">
        <v>2500000</v>
      </c>
      <c r="AO112" s="1263">
        <v>2.0122148413660486</v>
      </c>
      <c r="AP112" s="1447">
        <v>2500000</v>
      </c>
      <c r="AQ112" s="1263">
        <v>2.0762296020281243</v>
      </c>
      <c r="AR112" s="1447">
        <v>2500000</v>
      </c>
      <c r="AS112" s="1263">
        <v>2.1401338082760653</v>
      </c>
      <c r="AT112" s="1447">
        <v>2500000</v>
      </c>
      <c r="AU112" s="1263">
        <v>2.2039277462563804</v>
      </c>
      <c r="AV112" s="1447">
        <v>2500000</v>
      </c>
      <c r="AW112" s="1263">
        <v>2.2039277462563804</v>
      </c>
      <c r="AX112" s="1473"/>
      <c r="AY112" s="1257" t="s">
        <v>1156</v>
      </c>
    </row>
    <row r="113" spans="2:33" ht="51" x14ac:dyDescent="0.25">
      <c r="B113" s="229"/>
      <c r="C113" s="674"/>
      <c r="D113" s="674"/>
      <c r="E113" s="674"/>
      <c r="F113" s="675"/>
      <c r="G113" s="173" t="s">
        <v>1301</v>
      </c>
      <c r="H113" s="173" t="s">
        <v>1301</v>
      </c>
      <c r="I113" s="1473" t="s">
        <v>100</v>
      </c>
      <c r="J113" s="1246">
        <v>90</v>
      </c>
      <c r="K113" s="1246">
        <v>90</v>
      </c>
      <c r="L113" s="1247">
        <v>100000</v>
      </c>
      <c r="M113" s="168">
        <v>90</v>
      </c>
      <c r="N113" s="1247">
        <v>110000</v>
      </c>
      <c r="O113" s="168">
        <v>90</v>
      </c>
      <c r="P113" s="1247">
        <v>121000</v>
      </c>
      <c r="Q113" s="168">
        <v>90</v>
      </c>
      <c r="R113" s="1247">
        <v>133100</v>
      </c>
      <c r="S113" s="168">
        <v>90</v>
      </c>
      <c r="T113" s="1247">
        <v>146410</v>
      </c>
      <c r="U113" s="168">
        <v>90</v>
      </c>
      <c r="V113" s="1247">
        <v>161051</v>
      </c>
      <c r="W113" s="163"/>
      <c r="X113" s="173"/>
      <c r="Y113" s="1257" t="s">
        <v>1156</v>
      </c>
    </row>
    <row r="114" spans="2:33" x14ac:dyDescent="0.25">
      <c r="B114" s="1485"/>
      <c r="C114" s="1476"/>
      <c r="D114" s="1476"/>
      <c r="E114" s="1476"/>
      <c r="F114" s="1476"/>
      <c r="G114" s="674"/>
      <c r="H114" s="1476"/>
      <c r="I114" s="1473"/>
      <c r="J114" s="1263"/>
      <c r="K114" s="1263"/>
      <c r="L114" s="1447"/>
      <c r="M114" s="1263"/>
      <c r="N114" s="1475"/>
      <c r="O114" s="1263"/>
      <c r="P114" s="1475"/>
      <c r="Q114" s="1263"/>
      <c r="R114" s="1475"/>
      <c r="S114" s="1263"/>
      <c r="T114" s="1475"/>
      <c r="U114" s="1263"/>
      <c r="V114" s="1475"/>
      <c r="W114" s="1263"/>
      <c r="X114" s="1473"/>
      <c r="Y114" s="1257" t="s">
        <v>1156</v>
      </c>
    </row>
    <row r="115" spans="2:33" ht="63.75" x14ac:dyDescent="0.25">
      <c r="B115" s="2011" t="s">
        <v>1322</v>
      </c>
      <c r="C115" s="2013" t="s">
        <v>3852</v>
      </c>
      <c r="D115" s="2013" t="s">
        <v>3851</v>
      </c>
      <c r="E115" s="2013" t="s">
        <v>3748</v>
      </c>
      <c r="F115" s="673" t="s">
        <v>1350</v>
      </c>
      <c r="G115" s="1473" t="s">
        <v>3853</v>
      </c>
      <c r="H115" s="173" t="s">
        <v>1350</v>
      </c>
      <c r="I115" s="1473" t="s">
        <v>19</v>
      </c>
      <c r="J115" s="1263">
        <v>83.880308880308888</v>
      </c>
      <c r="K115" s="1263">
        <v>80.2</v>
      </c>
      <c r="L115" s="1447"/>
      <c r="M115" s="1263">
        <v>81.2</v>
      </c>
      <c r="N115" s="1475"/>
      <c r="O115" s="1263">
        <v>82.2</v>
      </c>
      <c r="P115" s="1475"/>
      <c r="Q115" s="1263">
        <v>83.2</v>
      </c>
      <c r="R115" s="1475"/>
      <c r="S115" s="1263">
        <v>84.2</v>
      </c>
      <c r="T115" s="1475"/>
      <c r="U115" s="1263">
        <v>85.2</v>
      </c>
      <c r="V115" s="1475"/>
      <c r="W115" s="1263">
        <v>85.2</v>
      </c>
      <c r="X115" s="1473"/>
      <c r="Y115" s="1257" t="s">
        <v>1156</v>
      </c>
    </row>
    <row r="116" spans="2:33" ht="63.75" x14ac:dyDescent="0.25">
      <c r="B116" s="2012"/>
      <c r="C116" s="2014"/>
      <c r="D116" s="2014"/>
      <c r="E116" s="2014"/>
      <c r="F116" s="674"/>
      <c r="G116" s="673" t="s">
        <v>1180</v>
      </c>
      <c r="H116" s="173" t="s">
        <v>1350</v>
      </c>
      <c r="I116" s="1473" t="s">
        <v>19</v>
      </c>
      <c r="J116" s="1513">
        <v>83.880308880308888</v>
      </c>
      <c r="K116" s="1514">
        <v>80.2</v>
      </c>
      <c r="L116" s="1247">
        <f>SUM(L117:L121)</f>
        <v>1555000</v>
      </c>
      <c r="M116" s="163">
        <v>81.2</v>
      </c>
      <c r="N116" s="1247">
        <f>SUM(N117:N121)</f>
        <v>1860500</v>
      </c>
      <c r="O116" s="163">
        <v>82.2</v>
      </c>
      <c r="P116" s="1247">
        <f>SUM(P117:P121)</f>
        <v>2031150</v>
      </c>
      <c r="Q116" s="163">
        <v>83.2</v>
      </c>
      <c r="R116" s="1247">
        <f>SUM(R117:R121)</f>
        <v>2219565</v>
      </c>
      <c r="S116" s="163">
        <v>84.2</v>
      </c>
      <c r="T116" s="1247">
        <f>SUM(T117:T121)</f>
        <v>2426421.5</v>
      </c>
      <c r="U116" s="163">
        <v>85.2</v>
      </c>
      <c r="V116" s="1247">
        <f>SUM(V117:V121)</f>
        <v>2654463</v>
      </c>
      <c r="W116" s="163">
        <f>U116</f>
        <v>85.2</v>
      </c>
      <c r="X116" s="173"/>
      <c r="Y116" s="1257" t="s">
        <v>1156</v>
      </c>
    </row>
    <row r="117" spans="2:33" ht="25.5" x14ac:dyDescent="0.25">
      <c r="B117" s="2012"/>
      <c r="C117" s="2014"/>
      <c r="D117" s="2014"/>
      <c r="E117" s="2014"/>
      <c r="F117" s="1244"/>
      <c r="G117" s="173" t="s">
        <v>1323</v>
      </c>
      <c r="H117" s="1476" t="s">
        <v>1324</v>
      </c>
      <c r="I117" s="1473" t="s">
        <v>1173</v>
      </c>
      <c r="J117" s="1245"/>
      <c r="K117" s="1254">
        <v>0</v>
      </c>
      <c r="L117" s="1247">
        <v>0</v>
      </c>
      <c r="M117" s="168">
        <v>1</v>
      </c>
      <c r="N117" s="1247">
        <v>150000</v>
      </c>
      <c r="O117" s="168">
        <v>1</v>
      </c>
      <c r="P117" s="1247">
        <v>150000</v>
      </c>
      <c r="Q117" s="168">
        <v>1</v>
      </c>
      <c r="R117" s="1247">
        <v>150000</v>
      </c>
      <c r="S117" s="168">
        <v>1</v>
      </c>
      <c r="T117" s="1247">
        <v>150000</v>
      </c>
      <c r="U117" s="168">
        <v>1</v>
      </c>
      <c r="V117" s="1247">
        <v>150000</v>
      </c>
      <c r="W117" s="163"/>
      <c r="X117" s="1473"/>
      <c r="Y117" s="1257" t="s">
        <v>1156</v>
      </c>
    </row>
    <row r="118" spans="2:33" ht="51" x14ac:dyDescent="0.25">
      <c r="B118" s="2012"/>
      <c r="C118" s="2014"/>
      <c r="D118" s="2014"/>
      <c r="E118" s="2014"/>
      <c r="F118" s="1244"/>
      <c r="G118" s="173" t="s">
        <v>1325</v>
      </c>
      <c r="H118" s="1476" t="s">
        <v>1326</v>
      </c>
      <c r="I118" s="1473" t="s">
        <v>69</v>
      </c>
      <c r="J118" s="1245"/>
      <c r="K118" s="1246">
        <v>25</v>
      </c>
      <c r="L118" s="1247">
        <v>940000</v>
      </c>
      <c r="M118" s="168">
        <v>25</v>
      </c>
      <c r="N118" s="1247">
        <v>1034000</v>
      </c>
      <c r="O118" s="168">
        <v>25</v>
      </c>
      <c r="P118" s="1247">
        <v>1137000</v>
      </c>
      <c r="Q118" s="168">
        <v>25</v>
      </c>
      <c r="R118" s="1247">
        <v>1251000</v>
      </c>
      <c r="S118" s="168">
        <v>25</v>
      </c>
      <c r="T118" s="1247">
        <v>1376000</v>
      </c>
      <c r="U118" s="168">
        <v>25</v>
      </c>
      <c r="V118" s="1247">
        <v>1514000</v>
      </c>
      <c r="W118" s="163"/>
      <c r="X118" s="1473"/>
      <c r="Y118" s="1257" t="s">
        <v>1156</v>
      </c>
    </row>
    <row r="119" spans="2:33" ht="38.25" x14ac:dyDescent="0.25">
      <c r="B119" s="2012"/>
      <c r="C119" s="2014"/>
      <c r="D119" s="2014"/>
      <c r="E119" s="2014"/>
      <c r="F119" s="1244"/>
      <c r="G119" s="173" t="s">
        <v>1327</v>
      </c>
      <c r="H119" s="1476" t="s">
        <v>1328</v>
      </c>
      <c r="I119" s="1473" t="s">
        <v>69</v>
      </c>
      <c r="J119" s="1245"/>
      <c r="K119" s="1246">
        <v>2</v>
      </c>
      <c r="L119" s="1247">
        <v>20000</v>
      </c>
      <c r="M119" s="168">
        <v>2</v>
      </c>
      <c r="N119" s="1247">
        <v>22000</v>
      </c>
      <c r="O119" s="168">
        <v>2</v>
      </c>
      <c r="P119" s="1247">
        <v>24200</v>
      </c>
      <c r="Q119" s="168">
        <v>2</v>
      </c>
      <c r="R119" s="1247">
        <v>26620</v>
      </c>
      <c r="S119" s="168">
        <v>2</v>
      </c>
      <c r="T119" s="1247">
        <v>29282</v>
      </c>
      <c r="U119" s="168">
        <v>2</v>
      </c>
      <c r="V119" s="1247">
        <v>32210</v>
      </c>
      <c r="W119" s="163"/>
      <c r="X119" s="1473"/>
      <c r="Y119" s="1257" t="s">
        <v>1156</v>
      </c>
    </row>
    <row r="120" spans="2:33" ht="38.25" x14ac:dyDescent="0.25">
      <c r="B120" s="2012"/>
      <c r="C120" s="2014"/>
      <c r="D120" s="2014"/>
      <c r="E120" s="674"/>
      <c r="F120" s="1244"/>
      <c r="G120" s="173" t="s">
        <v>1329</v>
      </c>
      <c r="H120" s="1476" t="s">
        <v>1330</v>
      </c>
      <c r="I120" s="1473" t="s">
        <v>663</v>
      </c>
      <c r="J120" s="1245"/>
      <c r="K120" s="1246">
        <v>2</v>
      </c>
      <c r="L120" s="1247">
        <v>220000</v>
      </c>
      <c r="M120" s="168">
        <v>2</v>
      </c>
      <c r="N120" s="1247">
        <v>242000</v>
      </c>
      <c r="O120" s="168">
        <v>2</v>
      </c>
      <c r="P120" s="1247">
        <v>266200</v>
      </c>
      <c r="Q120" s="168">
        <v>2</v>
      </c>
      <c r="R120" s="1247">
        <v>292820</v>
      </c>
      <c r="S120" s="168">
        <v>2</v>
      </c>
      <c r="T120" s="1247">
        <v>322102</v>
      </c>
      <c r="U120" s="168">
        <v>2</v>
      </c>
      <c r="V120" s="1247">
        <v>354312</v>
      </c>
      <c r="W120" s="163"/>
      <c r="X120" s="1473"/>
      <c r="Y120" s="1257" t="s">
        <v>1156</v>
      </c>
    </row>
    <row r="121" spans="2:33" ht="25.5" x14ac:dyDescent="0.25">
      <c r="B121" s="2012"/>
      <c r="C121" s="674"/>
      <c r="D121" s="674"/>
      <c r="E121" s="674"/>
      <c r="F121" s="1244"/>
      <c r="G121" s="173" t="s">
        <v>1331</v>
      </c>
      <c r="H121" s="1476" t="s">
        <v>1332</v>
      </c>
      <c r="I121" s="1473" t="s">
        <v>69</v>
      </c>
      <c r="J121" s="1245"/>
      <c r="K121" s="1246">
        <v>25</v>
      </c>
      <c r="L121" s="1247">
        <v>375000</v>
      </c>
      <c r="M121" s="168">
        <v>25</v>
      </c>
      <c r="N121" s="1247">
        <v>412500</v>
      </c>
      <c r="O121" s="168">
        <v>25</v>
      </c>
      <c r="P121" s="1247">
        <v>453750</v>
      </c>
      <c r="Q121" s="168">
        <v>25</v>
      </c>
      <c r="R121" s="1247">
        <v>499125</v>
      </c>
      <c r="S121" s="168">
        <v>25</v>
      </c>
      <c r="T121" s="1247">
        <v>549037.5</v>
      </c>
      <c r="U121" s="168">
        <v>25</v>
      </c>
      <c r="V121" s="1247">
        <v>603941</v>
      </c>
      <c r="W121" s="163"/>
      <c r="X121" s="1473"/>
      <c r="Y121" s="1257" t="s">
        <v>1156</v>
      </c>
    </row>
    <row r="122" spans="2:33" x14ac:dyDescent="0.25">
      <c r="B122" s="2012"/>
      <c r="C122" s="674"/>
      <c r="D122" s="674"/>
      <c r="E122" s="674"/>
      <c r="F122" s="1244"/>
      <c r="G122" s="173"/>
      <c r="H122" s="1476"/>
      <c r="I122" s="1473"/>
      <c r="J122" s="1245"/>
      <c r="K122" s="1246"/>
      <c r="L122" s="1609"/>
      <c r="M122" s="168"/>
      <c r="N122" s="1610"/>
      <c r="O122" s="168"/>
      <c r="P122" s="1610"/>
      <c r="Q122" s="168"/>
      <c r="R122" s="1610"/>
      <c r="S122" s="168"/>
      <c r="T122" s="1610"/>
      <c r="U122" s="168"/>
      <c r="V122" s="1611"/>
      <c r="W122" s="163"/>
      <c r="X122" s="1473"/>
      <c r="Y122" s="1257"/>
    </row>
    <row r="123" spans="2:33" ht="77.25" thickBot="1" x14ac:dyDescent="0.3">
      <c r="B123" s="2012"/>
      <c r="C123" s="674"/>
      <c r="D123" s="674"/>
      <c r="E123" s="674"/>
      <c r="F123" s="173" t="s">
        <v>3114</v>
      </c>
      <c r="G123" s="1473" t="s">
        <v>3864</v>
      </c>
      <c r="I123" s="1473" t="s">
        <v>19</v>
      </c>
      <c r="J123" s="1515">
        <f>(J124+J125)/2</f>
        <v>74.221153370164984</v>
      </c>
      <c r="K123" s="1515">
        <f>(K124+K125)/2</f>
        <v>74.951197489093062</v>
      </c>
      <c r="L123" s="1238"/>
      <c r="M123" s="1608">
        <f>(M124+M125)/2</f>
        <v>75.535568943068284</v>
      </c>
      <c r="N123" s="1238"/>
      <c r="O123" s="1608">
        <f>(O124+O125)/2</f>
        <v>76.155183609493946</v>
      </c>
      <c r="P123" s="1238"/>
      <c r="Q123" s="1608">
        <f>(Q124+Q125)/2</f>
        <v>76.884968652037628</v>
      </c>
      <c r="R123" s="1238"/>
      <c r="S123" s="1608">
        <f>(S124+S125)/2</f>
        <v>77.502796686072543</v>
      </c>
      <c r="T123" s="1238"/>
      <c r="U123" s="1608">
        <f>(U124+U125)/2</f>
        <v>78.23758172861622</v>
      </c>
      <c r="V123" s="1238"/>
      <c r="W123" s="1515">
        <f>(W124+W125)/2</f>
        <v>78.23758172861622</v>
      </c>
      <c r="X123" s="173"/>
      <c r="Y123" s="1257" t="s">
        <v>1156</v>
      </c>
    </row>
    <row r="124" spans="2:33" ht="63.75" x14ac:dyDescent="0.25">
      <c r="B124" s="2012"/>
      <c r="C124" s="674"/>
      <c r="D124" s="674"/>
      <c r="E124" s="674"/>
      <c r="F124" s="674"/>
      <c r="G124" s="673" t="s">
        <v>1209</v>
      </c>
      <c r="H124" s="173" t="s">
        <v>1351</v>
      </c>
      <c r="I124" s="1473" t="s">
        <v>19</v>
      </c>
      <c r="J124" s="1515">
        <v>66.221079691516707</v>
      </c>
      <c r="K124" s="1515">
        <v>67.009425878320485</v>
      </c>
      <c r="L124" s="1516">
        <f>SUM(L126:L135)</f>
        <v>17530700</v>
      </c>
      <c r="M124" s="1517">
        <v>67.506426735218511</v>
      </c>
      <c r="N124" s="1516">
        <f>SUM(N126:N135)</f>
        <v>20785470</v>
      </c>
      <c r="O124" s="1517">
        <v>67.849999999999994</v>
      </c>
      <c r="P124" s="1516">
        <f>SUM(P126:P135)</f>
        <v>18014857</v>
      </c>
      <c r="Q124" s="1517">
        <v>68.19</v>
      </c>
      <c r="R124" s="1516">
        <f>SUM(R126:R135)</f>
        <v>19264242.699999999</v>
      </c>
      <c r="S124" s="1517">
        <v>68.53</v>
      </c>
      <c r="T124" s="1516">
        <f>SUM(T126:T135)</f>
        <v>20618566.970000003</v>
      </c>
      <c r="U124" s="1517">
        <v>68.88</v>
      </c>
      <c r="V124" s="1516">
        <f>SUM(V126:V135)</f>
        <v>19998316.970000003</v>
      </c>
      <c r="W124" s="163">
        <f>U124</f>
        <v>68.88</v>
      </c>
      <c r="X124" s="173"/>
      <c r="Y124" s="1257" t="s">
        <v>1156</v>
      </c>
      <c r="AA124" s="1624">
        <v>66.221079691516707</v>
      </c>
      <c r="AB124" s="1624">
        <v>67.009425878320485</v>
      </c>
      <c r="AC124" s="1624">
        <v>67.506426735218511</v>
      </c>
      <c r="AD124" s="1624">
        <v>67.849999999999994</v>
      </c>
      <c r="AE124" s="1624">
        <v>68.19</v>
      </c>
      <c r="AF124" s="1624">
        <v>68.53</v>
      </c>
      <c r="AG124" s="1624">
        <v>68.88</v>
      </c>
    </row>
    <row r="125" spans="2:33" ht="51" x14ac:dyDescent="0.25">
      <c r="B125" s="1602"/>
      <c r="C125" s="674"/>
      <c r="D125" s="674"/>
      <c r="E125" s="674"/>
      <c r="F125" s="674"/>
      <c r="G125" s="674"/>
      <c r="H125" s="173" t="s">
        <v>1352</v>
      </c>
      <c r="I125" s="1473" t="s">
        <v>19</v>
      </c>
      <c r="J125" s="1515">
        <v>82.221227048813248</v>
      </c>
      <c r="K125" s="1515">
        <v>82.892969099865653</v>
      </c>
      <c r="L125" s="1247"/>
      <c r="M125" s="163">
        <v>83.564711150918043</v>
      </c>
      <c r="N125" s="1247"/>
      <c r="O125" s="163">
        <v>84.460367218987912</v>
      </c>
      <c r="P125" s="1247"/>
      <c r="Q125" s="163">
        <v>85.579937304075244</v>
      </c>
      <c r="R125" s="1247"/>
      <c r="S125" s="163">
        <v>86.475593372145099</v>
      </c>
      <c r="T125" s="1247"/>
      <c r="U125" s="163">
        <v>87.595163457232431</v>
      </c>
      <c r="V125" s="1247"/>
      <c r="W125" s="163">
        <f>U125</f>
        <v>87.595163457232431</v>
      </c>
      <c r="X125" s="173"/>
      <c r="Y125" s="1257" t="s">
        <v>1156</v>
      </c>
    </row>
    <row r="126" spans="2:33" ht="38.25" x14ac:dyDescent="0.25">
      <c r="B126" s="1602"/>
      <c r="C126" s="674"/>
      <c r="D126" s="674"/>
      <c r="E126" s="674"/>
      <c r="F126" s="1244"/>
      <c r="G126" s="173" t="s">
        <v>1333</v>
      </c>
      <c r="H126" s="173" t="s">
        <v>1334</v>
      </c>
      <c r="I126" s="1473" t="s">
        <v>19</v>
      </c>
      <c r="J126" s="1245">
        <v>78</v>
      </c>
      <c r="K126" s="1248">
        <v>80.88</v>
      </c>
      <c r="L126" s="1247">
        <v>6796000</v>
      </c>
      <c r="M126" s="163">
        <v>82.76</v>
      </c>
      <c r="N126" s="1247">
        <v>7475600</v>
      </c>
      <c r="O126" s="163">
        <v>85.16</v>
      </c>
      <c r="P126" s="1247">
        <v>6216000</v>
      </c>
      <c r="Q126" s="163">
        <v>87.56</v>
      </c>
      <c r="R126" s="1247">
        <v>6416000</v>
      </c>
      <c r="S126" s="163">
        <v>89.96</v>
      </c>
      <c r="T126" s="1247">
        <v>6616000</v>
      </c>
      <c r="U126" s="163">
        <v>92.36</v>
      </c>
      <c r="V126" s="1247">
        <v>6856000</v>
      </c>
      <c r="W126" s="163"/>
      <c r="X126" s="1476"/>
      <c r="Y126" s="1257" t="s">
        <v>1156</v>
      </c>
    </row>
    <row r="127" spans="2:33" ht="38.25" x14ac:dyDescent="0.25">
      <c r="B127" s="1602"/>
      <c r="C127" s="674"/>
      <c r="D127" s="674"/>
      <c r="E127" s="674"/>
      <c r="F127" s="1244"/>
      <c r="G127" s="1476" t="s">
        <v>1335</v>
      </c>
      <c r="H127" s="173" t="s">
        <v>3098</v>
      </c>
      <c r="I127" s="1473" t="s">
        <v>1063</v>
      </c>
      <c r="J127" s="1246">
        <v>2</v>
      </c>
      <c r="K127" s="1255">
        <v>2</v>
      </c>
      <c r="L127" s="1247">
        <v>40000</v>
      </c>
      <c r="M127" s="168">
        <v>2</v>
      </c>
      <c r="N127" s="1247">
        <v>40000</v>
      </c>
      <c r="O127" s="168">
        <v>2</v>
      </c>
      <c r="P127" s="1247">
        <v>40000</v>
      </c>
      <c r="Q127" s="168">
        <v>2</v>
      </c>
      <c r="R127" s="1247">
        <v>40000</v>
      </c>
      <c r="S127" s="168">
        <v>2</v>
      </c>
      <c r="T127" s="1247">
        <v>40000</v>
      </c>
      <c r="U127" s="168">
        <v>2</v>
      </c>
      <c r="V127" s="1247">
        <v>40000</v>
      </c>
      <c r="W127" s="163"/>
      <c r="X127" s="1473"/>
      <c r="Y127" s="1257" t="s">
        <v>1156</v>
      </c>
    </row>
    <row r="128" spans="2:33" ht="51" x14ac:dyDescent="0.25">
      <c r="B128" s="1602"/>
      <c r="C128" s="674"/>
      <c r="D128" s="674"/>
      <c r="E128" s="674"/>
      <c r="F128" s="1244"/>
      <c r="G128" s="173" t="s">
        <v>1336</v>
      </c>
      <c r="H128" s="173" t="s">
        <v>3099</v>
      </c>
      <c r="I128" s="1473" t="s">
        <v>663</v>
      </c>
      <c r="J128" s="1246">
        <v>20</v>
      </c>
      <c r="K128" s="1246">
        <v>20</v>
      </c>
      <c r="L128" s="1247">
        <v>1500000</v>
      </c>
      <c r="M128" s="168">
        <v>20</v>
      </c>
      <c r="N128" s="1247">
        <v>1650000</v>
      </c>
      <c r="O128" s="168">
        <v>10</v>
      </c>
      <c r="P128" s="1247">
        <v>291500</v>
      </c>
      <c r="Q128" s="168">
        <v>10</v>
      </c>
      <c r="R128" s="1247">
        <v>320650</v>
      </c>
      <c r="S128" s="168">
        <v>10</v>
      </c>
      <c r="T128" s="1247">
        <v>352715</v>
      </c>
      <c r="U128" s="168">
        <v>10</v>
      </c>
      <c r="V128" s="1247">
        <v>352715</v>
      </c>
      <c r="W128" s="163"/>
      <c r="X128" s="1473"/>
      <c r="Y128" s="1257" t="s">
        <v>1156</v>
      </c>
    </row>
    <row r="129" spans="2:25" ht="63.75" x14ac:dyDescent="0.25">
      <c r="B129" s="1602"/>
      <c r="C129" s="674"/>
      <c r="D129" s="674"/>
      <c r="E129" s="674"/>
      <c r="F129" s="1244"/>
      <c r="G129" s="173" t="s">
        <v>1331</v>
      </c>
      <c r="H129" s="173" t="s">
        <v>3100</v>
      </c>
      <c r="I129" s="1473" t="s">
        <v>69</v>
      </c>
      <c r="J129" s="1246">
        <v>90</v>
      </c>
      <c r="K129" s="1246">
        <v>10</v>
      </c>
      <c r="L129" s="1247">
        <v>380700</v>
      </c>
      <c r="M129" s="168">
        <v>20</v>
      </c>
      <c r="N129" s="1247">
        <v>418770</v>
      </c>
      <c r="O129" s="168">
        <v>20</v>
      </c>
      <c r="P129" s="1247">
        <v>460647</v>
      </c>
      <c r="Q129" s="168">
        <v>20</v>
      </c>
      <c r="R129" s="1247">
        <v>506711.7</v>
      </c>
      <c r="S129" s="168">
        <v>20</v>
      </c>
      <c r="T129" s="1247">
        <v>557382.87</v>
      </c>
      <c r="U129" s="168">
        <v>20</v>
      </c>
      <c r="V129" s="1247">
        <v>557382.87</v>
      </c>
      <c r="W129" s="163"/>
      <c r="X129" s="1473"/>
      <c r="Y129" s="1257" t="s">
        <v>1156</v>
      </c>
    </row>
    <row r="130" spans="2:25" ht="51" x14ac:dyDescent="0.25">
      <c r="B130" s="1602"/>
      <c r="C130" s="674"/>
      <c r="D130" s="674"/>
      <c r="E130" s="674"/>
      <c r="F130" s="1244"/>
      <c r="G130" s="173" t="s">
        <v>1337</v>
      </c>
      <c r="H130" s="173" t="s">
        <v>3101</v>
      </c>
      <c r="I130" s="1473" t="s">
        <v>663</v>
      </c>
      <c r="J130" s="1246">
        <v>100</v>
      </c>
      <c r="K130" s="1246">
        <v>30</v>
      </c>
      <c r="L130" s="1247">
        <v>2500000</v>
      </c>
      <c r="M130" s="168">
        <v>25</v>
      </c>
      <c r="N130" s="1247">
        <v>2750000</v>
      </c>
      <c r="O130" s="168">
        <v>25</v>
      </c>
      <c r="P130" s="1247">
        <v>3025000</v>
      </c>
      <c r="Q130" s="168">
        <v>25</v>
      </c>
      <c r="R130" s="1247">
        <v>3327500</v>
      </c>
      <c r="S130" s="168">
        <v>25</v>
      </c>
      <c r="T130" s="1247">
        <v>3660250</v>
      </c>
      <c r="U130" s="168">
        <v>25</v>
      </c>
      <c r="V130" s="1247">
        <v>3800000</v>
      </c>
      <c r="W130" s="163"/>
      <c r="X130" s="1473"/>
      <c r="Y130" s="1257" t="s">
        <v>1156</v>
      </c>
    </row>
    <row r="131" spans="2:25" ht="51" x14ac:dyDescent="0.25">
      <c r="B131" s="1602"/>
      <c r="C131" s="674"/>
      <c r="D131" s="674"/>
      <c r="E131" s="674"/>
      <c r="F131" s="1244"/>
      <c r="G131" s="173" t="s">
        <v>3680</v>
      </c>
      <c r="H131" s="173" t="s">
        <v>3681</v>
      </c>
      <c r="I131" s="1473" t="s">
        <v>1063</v>
      </c>
      <c r="J131" s="1246">
        <v>6</v>
      </c>
      <c r="K131" s="1246">
        <v>5</v>
      </c>
      <c r="L131" s="1247">
        <v>67000</v>
      </c>
      <c r="M131" s="168">
        <v>6</v>
      </c>
      <c r="N131" s="1247">
        <v>75000</v>
      </c>
      <c r="O131" s="168">
        <v>6</v>
      </c>
      <c r="P131" s="1247">
        <v>75000</v>
      </c>
      <c r="Q131" s="168">
        <v>6</v>
      </c>
      <c r="R131" s="1247">
        <v>75000</v>
      </c>
      <c r="S131" s="168">
        <v>6</v>
      </c>
      <c r="T131" s="1247">
        <v>75000</v>
      </c>
      <c r="U131" s="168">
        <v>6</v>
      </c>
      <c r="V131" s="1247">
        <v>75000</v>
      </c>
      <c r="W131" s="163"/>
      <c r="X131" s="1473"/>
      <c r="Y131" s="1257" t="s">
        <v>1156</v>
      </c>
    </row>
    <row r="132" spans="2:25" ht="63.75" x14ac:dyDescent="0.25">
      <c r="B132" s="1602"/>
      <c r="C132" s="674"/>
      <c r="D132" s="674"/>
      <c r="E132" s="674"/>
      <c r="F132" s="1244"/>
      <c r="G132" s="173" t="s">
        <v>1338</v>
      </c>
      <c r="H132" s="173" t="s">
        <v>1339</v>
      </c>
      <c r="I132" s="1473" t="s">
        <v>19</v>
      </c>
      <c r="J132" s="1245">
        <v>97</v>
      </c>
      <c r="K132" s="1245">
        <v>98.69</v>
      </c>
      <c r="L132" s="1247">
        <v>5551000</v>
      </c>
      <c r="M132" s="163">
        <v>100</v>
      </c>
      <c r="N132" s="1247">
        <v>6106100</v>
      </c>
      <c r="O132" s="163">
        <v>100</v>
      </c>
      <c r="P132" s="1247">
        <v>6716710</v>
      </c>
      <c r="Q132" s="163">
        <v>100</v>
      </c>
      <c r="R132" s="1247">
        <v>7388381</v>
      </c>
      <c r="S132" s="163">
        <v>100</v>
      </c>
      <c r="T132" s="1247">
        <v>8127219.1000000006</v>
      </c>
      <c r="U132" s="163">
        <v>100</v>
      </c>
      <c r="V132" s="1247">
        <v>8127219.1000000006</v>
      </c>
      <c r="W132" s="163"/>
      <c r="X132" s="1473"/>
      <c r="Y132" s="1257" t="s">
        <v>1156</v>
      </c>
    </row>
    <row r="133" spans="2:25" ht="51" x14ac:dyDescent="0.25">
      <c r="B133" s="1602"/>
      <c r="C133" s="674"/>
      <c r="D133" s="674"/>
      <c r="E133" s="674"/>
      <c r="F133" s="1244"/>
      <c r="G133" s="173" t="s">
        <v>1340</v>
      </c>
      <c r="H133" s="173" t="s">
        <v>3102</v>
      </c>
      <c r="I133" s="1473" t="s">
        <v>69</v>
      </c>
      <c r="J133" s="1246">
        <v>1</v>
      </c>
      <c r="K133" s="1246">
        <v>1</v>
      </c>
      <c r="L133" s="1247">
        <v>90000</v>
      </c>
      <c r="M133" s="168">
        <v>1</v>
      </c>
      <c r="N133" s="1247">
        <v>90000</v>
      </c>
      <c r="O133" s="168">
        <v>1</v>
      </c>
      <c r="P133" s="1247">
        <v>90000</v>
      </c>
      <c r="Q133" s="168">
        <v>1</v>
      </c>
      <c r="R133" s="1247">
        <v>90000</v>
      </c>
      <c r="S133" s="168">
        <v>1</v>
      </c>
      <c r="T133" s="1247">
        <v>90000</v>
      </c>
      <c r="U133" s="168">
        <v>1</v>
      </c>
      <c r="V133" s="1247">
        <v>90000</v>
      </c>
      <c r="W133" s="163"/>
      <c r="X133" s="1473"/>
      <c r="Y133" s="1257" t="s">
        <v>1156</v>
      </c>
    </row>
    <row r="134" spans="2:25" ht="51" x14ac:dyDescent="0.25">
      <c r="B134" s="1602"/>
      <c r="C134" s="674"/>
      <c r="D134" s="674"/>
      <c r="E134" s="674"/>
      <c r="F134" s="1244"/>
      <c r="G134" s="173" t="s">
        <v>1341</v>
      </c>
      <c r="H134" s="173" t="s">
        <v>3103</v>
      </c>
      <c r="I134" s="1473" t="s">
        <v>1211</v>
      </c>
      <c r="J134" s="1246" t="s">
        <v>3104</v>
      </c>
      <c r="K134" s="1246">
        <v>256</v>
      </c>
      <c r="L134" s="1247">
        <v>606000</v>
      </c>
      <c r="M134" s="168">
        <v>50</v>
      </c>
      <c r="N134" s="1247">
        <v>100000</v>
      </c>
      <c r="O134" s="168">
        <v>50</v>
      </c>
      <c r="P134" s="1247">
        <v>100000</v>
      </c>
      <c r="Q134" s="168">
        <v>50</v>
      </c>
      <c r="R134" s="1247">
        <v>100000</v>
      </c>
      <c r="S134" s="168">
        <v>50</v>
      </c>
      <c r="T134" s="1247">
        <v>100000</v>
      </c>
      <c r="U134" s="168">
        <v>50</v>
      </c>
      <c r="V134" s="1247">
        <v>100000</v>
      </c>
      <c r="W134" s="163"/>
      <c r="X134" s="1473"/>
      <c r="Y134" s="1257" t="s">
        <v>1156</v>
      </c>
    </row>
    <row r="135" spans="2:25" ht="25.5" x14ac:dyDescent="0.25">
      <c r="B135" s="1602"/>
      <c r="C135" s="674"/>
      <c r="D135" s="674"/>
      <c r="E135" s="674"/>
      <c r="F135" s="1244"/>
      <c r="G135" s="173" t="s">
        <v>1342</v>
      </c>
      <c r="H135" s="173" t="s">
        <v>3105</v>
      </c>
      <c r="I135" s="1473" t="s">
        <v>1211</v>
      </c>
      <c r="J135" s="1246"/>
      <c r="K135" s="1247">
        <v>0</v>
      </c>
      <c r="L135" s="1247">
        <v>0</v>
      </c>
      <c r="M135" s="168">
        <v>2</v>
      </c>
      <c r="N135" s="1247">
        <v>2080000</v>
      </c>
      <c r="O135" s="168">
        <v>1</v>
      </c>
      <c r="P135" s="1247">
        <v>1000000</v>
      </c>
      <c r="Q135" s="168">
        <v>1</v>
      </c>
      <c r="R135" s="1247">
        <v>1000000</v>
      </c>
      <c r="S135" s="168">
        <v>1</v>
      </c>
      <c r="T135" s="1247">
        <v>1000000</v>
      </c>
      <c r="U135" s="168">
        <v>0</v>
      </c>
      <c r="V135" s="1247">
        <v>0</v>
      </c>
      <c r="W135" s="163"/>
      <c r="X135" s="1473"/>
      <c r="Y135" s="1257" t="s">
        <v>1156</v>
      </c>
    </row>
    <row r="136" spans="2:25" x14ac:dyDescent="0.25">
      <c r="B136" s="1602"/>
      <c r="C136" s="674"/>
      <c r="D136" s="674"/>
      <c r="E136" s="674"/>
      <c r="F136" s="1244"/>
      <c r="G136" s="673"/>
      <c r="H136" s="173"/>
      <c r="I136" s="1473"/>
      <c r="J136" s="1246"/>
      <c r="K136" s="1247"/>
      <c r="L136" s="1516"/>
      <c r="M136" s="168"/>
      <c r="N136" s="1516"/>
      <c r="O136" s="168"/>
      <c r="P136" s="1516"/>
      <c r="Q136" s="168"/>
      <c r="R136" s="1516"/>
      <c r="S136" s="168"/>
      <c r="T136" s="1516"/>
      <c r="U136" s="168"/>
      <c r="V136" s="1516"/>
      <c r="W136" s="163"/>
      <c r="X136" s="1473"/>
      <c r="Y136" s="1257"/>
    </row>
    <row r="137" spans="2:25" ht="63.75" x14ac:dyDescent="0.25">
      <c r="B137" s="1602"/>
      <c r="C137" s="674"/>
      <c r="D137" s="674"/>
      <c r="E137" s="674"/>
      <c r="F137" s="173" t="s">
        <v>1353</v>
      </c>
      <c r="G137" s="1473" t="s">
        <v>3865</v>
      </c>
      <c r="H137" s="173"/>
      <c r="I137" s="1473" t="s">
        <v>19</v>
      </c>
      <c r="J137" s="1515">
        <v>87.587971849008312</v>
      </c>
      <c r="K137" s="1515">
        <v>88.227767114523346</v>
      </c>
      <c r="L137" s="1516"/>
      <c r="M137" s="163">
        <v>88.867562380038393</v>
      </c>
      <c r="N137" s="1516"/>
      <c r="O137" s="163">
        <v>89.507357645553427</v>
      </c>
      <c r="P137" s="1516"/>
      <c r="Q137" s="163">
        <v>90.14715291106846</v>
      </c>
      <c r="R137" s="1516"/>
      <c r="S137" s="163">
        <v>90.786948176583493</v>
      </c>
      <c r="T137" s="1516"/>
      <c r="U137" s="163">
        <v>91.426743442098527</v>
      </c>
      <c r="V137" s="1516"/>
      <c r="W137" s="163">
        <f>U137</f>
        <v>91.426743442098527</v>
      </c>
      <c r="X137" s="1473"/>
      <c r="Y137" s="1257"/>
    </row>
    <row r="138" spans="2:25" ht="51" x14ac:dyDescent="0.25">
      <c r="B138" s="1602"/>
      <c r="C138" s="674"/>
      <c r="D138" s="674"/>
      <c r="E138" s="674"/>
      <c r="F138" s="673"/>
      <c r="G138" s="673" t="s">
        <v>1237</v>
      </c>
      <c r="H138" s="173" t="s">
        <v>1353</v>
      </c>
      <c r="I138" s="1473" t="s">
        <v>19</v>
      </c>
      <c r="J138" s="1515">
        <v>87.587971849008312</v>
      </c>
      <c r="K138" s="1515">
        <v>88.227767114523346</v>
      </c>
      <c r="L138" s="1516">
        <f>SUM(L139:L145)</f>
        <v>4874000</v>
      </c>
      <c r="M138" s="163">
        <v>88.867562380038393</v>
      </c>
      <c r="N138" s="1516">
        <f>SUM(N139:N145)</f>
        <v>5271400</v>
      </c>
      <c r="O138" s="163">
        <v>89.507357645553427</v>
      </c>
      <c r="P138" s="1516">
        <f>SUM(P139:P145)</f>
        <v>5079740</v>
      </c>
      <c r="Q138" s="163">
        <v>90.14715291106846</v>
      </c>
      <c r="R138" s="1516">
        <f>SUM(R139:R145)</f>
        <v>5347634</v>
      </c>
      <c r="S138" s="163">
        <v>90.786948176583493</v>
      </c>
      <c r="T138" s="1516">
        <f>SUM(T139:T145)</f>
        <v>5334317.4000000004</v>
      </c>
      <c r="U138" s="163">
        <v>91.426743442098527</v>
      </c>
      <c r="V138" s="1516">
        <f>SUM(V139:V145)</f>
        <v>5658469.1399999997</v>
      </c>
      <c r="W138" s="163">
        <f>U138</f>
        <v>91.426743442098527</v>
      </c>
      <c r="X138" s="173"/>
      <c r="Y138" s="1257" t="s">
        <v>1156</v>
      </c>
    </row>
    <row r="139" spans="2:25" ht="25.5" x14ac:dyDescent="0.25">
      <c r="B139" s="1602"/>
      <c r="C139" s="674"/>
      <c r="D139" s="674"/>
      <c r="E139" s="674"/>
      <c r="F139" s="1244"/>
      <c r="G139" s="173" t="s">
        <v>1342</v>
      </c>
      <c r="H139" s="173" t="s">
        <v>1342</v>
      </c>
      <c r="I139" s="1473" t="s">
        <v>75</v>
      </c>
      <c r="J139" s="1246">
        <v>1</v>
      </c>
      <c r="K139" s="1246">
        <v>1</v>
      </c>
      <c r="L139" s="1247">
        <v>1000000</v>
      </c>
      <c r="M139" s="168">
        <v>1</v>
      </c>
      <c r="N139" s="1247">
        <v>1100000</v>
      </c>
      <c r="O139" s="168">
        <v>1</v>
      </c>
      <c r="P139" s="1247">
        <v>1210000</v>
      </c>
      <c r="Q139" s="168">
        <v>1</v>
      </c>
      <c r="R139" s="1247">
        <v>1331000</v>
      </c>
      <c r="S139" s="168">
        <v>1</v>
      </c>
      <c r="T139" s="1247">
        <v>1464100</v>
      </c>
      <c r="U139" s="168">
        <v>1</v>
      </c>
      <c r="V139" s="1247">
        <v>1610510</v>
      </c>
      <c r="W139" s="163"/>
      <c r="X139" s="1473"/>
      <c r="Y139" s="1257" t="s">
        <v>1156</v>
      </c>
    </row>
    <row r="140" spans="2:25" ht="51" x14ac:dyDescent="0.25">
      <c r="B140" s="1602"/>
      <c r="C140" s="674"/>
      <c r="D140" s="674"/>
      <c r="E140" s="674"/>
      <c r="F140" s="1244"/>
      <c r="G140" s="173" t="s">
        <v>1343</v>
      </c>
      <c r="H140" s="173" t="s">
        <v>1343</v>
      </c>
      <c r="I140" s="1473" t="s">
        <v>75</v>
      </c>
      <c r="J140" s="1246">
        <v>6</v>
      </c>
      <c r="K140" s="1246">
        <v>6</v>
      </c>
      <c r="L140" s="1247">
        <v>594000</v>
      </c>
      <c r="M140" s="168">
        <v>3</v>
      </c>
      <c r="N140" s="1247">
        <v>653400</v>
      </c>
      <c r="O140" s="168">
        <v>3</v>
      </c>
      <c r="P140" s="1247">
        <v>718740</v>
      </c>
      <c r="Q140" s="168">
        <v>3</v>
      </c>
      <c r="R140" s="1247">
        <v>790614</v>
      </c>
      <c r="S140" s="168">
        <v>3</v>
      </c>
      <c r="T140" s="1247">
        <v>869675.4</v>
      </c>
      <c r="U140" s="168">
        <v>3</v>
      </c>
      <c r="V140" s="1247">
        <v>956642.94000000006</v>
      </c>
      <c r="W140" s="163"/>
      <c r="X140" s="1473"/>
      <c r="Y140" s="1257" t="s">
        <v>1156</v>
      </c>
    </row>
    <row r="141" spans="2:25" ht="51" x14ac:dyDescent="0.25">
      <c r="B141" s="1602"/>
      <c r="C141" s="674"/>
      <c r="D141" s="674"/>
      <c r="E141" s="674"/>
      <c r="F141" s="1244"/>
      <c r="G141" s="173" t="s">
        <v>1344</v>
      </c>
      <c r="H141" s="173" t="s">
        <v>1344</v>
      </c>
      <c r="I141" s="1473" t="s">
        <v>75</v>
      </c>
      <c r="J141" s="1246">
        <v>5</v>
      </c>
      <c r="K141" s="1246">
        <v>5</v>
      </c>
      <c r="L141" s="1247">
        <v>620000</v>
      </c>
      <c r="M141" s="168">
        <v>4</v>
      </c>
      <c r="N141" s="1247">
        <v>682000</v>
      </c>
      <c r="O141" s="168">
        <v>4</v>
      </c>
      <c r="P141" s="1247">
        <v>750200</v>
      </c>
      <c r="Q141" s="168">
        <v>4</v>
      </c>
      <c r="R141" s="1247">
        <v>825220</v>
      </c>
      <c r="S141" s="168">
        <v>4</v>
      </c>
      <c r="T141" s="1247">
        <v>907742</v>
      </c>
      <c r="U141" s="168">
        <v>4</v>
      </c>
      <c r="V141" s="1247">
        <v>998516.2</v>
      </c>
      <c r="W141" s="163"/>
      <c r="X141" s="1473"/>
      <c r="Y141" s="1257" t="s">
        <v>1156</v>
      </c>
    </row>
    <row r="142" spans="2:25" ht="63.75" x14ac:dyDescent="0.25">
      <c r="B142" s="1602"/>
      <c r="C142" s="674"/>
      <c r="D142" s="674"/>
      <c r="E142" s="674"/>
      <c r="F142" s="1244"/>
      <c r="G142" s="173" t="s">
        <v>1345</v>
      </c>
      <c r="H142" s="173" t="s">
        <v>1345</v>
      </c>
      <c r="I142" s="1473" t="s">
        <v>75</v>
      </c>
      <c r="J142" s="1256" t="s">
        <v>3106</v>
      </c>
      <c r="K142" s="1246">
        <v>92</v>
      </c>
      <c r="L142" s="1247">
        <v>0</v>
      </c>
      <c r="M142" s="168">
        <v>92</v>
      </c>
      <c r="N142" s="1247">
        <v>0</v>
      </c>
      <c r="O142" s="168">
        <v>92</v>
      </c>
      <c r="P142" s="1247">
        <v>0</v>
      </c>
      <c r="Q142" s="168">
        <v>92</v>
      </c>
      <c r="R142" s="1247">
        <v>0</v>
      </c>
      <c r="S142" s="168">
        <v>92</v>
      </c>
      <c r="T142" s="1247">
        <v>0</v>
      </c>
      <c r="U142" s="168">
        <v>92</v>
      </c>
      <c r="V142" s="1247">
        <v>0</v>
      </c>
      <c r="W142" s="163"/>
      <c r="X142" s="1473"/>
      <c r="Y142" s="1257" t="s">
        <v>1156</v>
      </c>
    </row>
    <row r="143" spans="2:25" ht="38.25" x14ac:dyDescent="0.25">
      <c r="B143" s="1602"/>
      <c r="C143" s="674"/>
      <c r="D143" s="674"/>
      <c r="E143" s="674"/>
      <c r="F143" s="674"/>
      <c r="G143" s="173" t="s">
        <v>1346</v>
      </c>
      <c r="H143" s="173" t="s">
        <v>1346</v>
      </c>
      <c r="I143" s="1473" t="s">
        <v>75</v>
      </c>
      <c r="J143" s="1246">
        <v>1</v>
      </c>
      <c r="K143" s="1246">
        <v>2</v>
      </c>
      <c r="L143" s="1247">
        <v>520000</v>
      </c>
      <c r="M143" s="168">
        <v>1</v>
      </c>
      <c r="N143" s="1247">
        <v>572000</v>
      </c>
      <c r="O143" s="168">
        <v>1</v>
      </c>
      <c r="P143" s="1247">
        <v>260000</v>
      </c>
      <c r="Q143" s="168">
        <v>1</v>
      </c>
      <c r="R143" s="1247">
        <v>260000</v>
      </c>
      <c r="S143" s="168">
        <v>1</v>
      </c>
      <c r="T143" s="1247">
        <v>260000</v>
      </c>
      <c r="U143" s="168">
        <v>1</v>
      </c>
      <c r="V143" s="1247">
        <v>260000</v>
      </c>
      <c r="W143" s="163"/>
      <c r="X143" s="1473"/>
      <c r="Y143" s="1257" t="s">
        <v>1156</v>
      </c>
    </row>
    <row r="144" spans="2:25" ht="38.25" x14ac:dyDescent="0.25">
      <c r="B144" s="1602"/>
      <c r="C144" s="674"/>
      <c r="D144" s="674"/>
      <c r="E144" s="674"/>
      <c r="F144" s="674"/>
      <c r="G144" s="173" t="s">
        <v>1347</v>
      </c>
      <c r="H144" s="173" t="s">
        <v>1347</v>
      </c>
      <c r="I144" s="1473" t="s">
        <v>75</v>
      </c>
      <c r="J144" s="1246">
        <v>2</v>
      </c>
      <c r="K144" s="1246">
        <v>2</v>
      </c>
      <c r="L144" s="1247">
        <v>908000</v>
      </c>
      <c r="M144" s="168">
        <v>2</v>
      </c>
      <c r="N144" s="1247">
        <v>908800</v>
      </c>
      <c r="O144" s="168">
        <v>2</v>
      </c>
      <c r="P144" s="1247">
        <v>908800</v>
      </c>
      <c r="Q144" s="168">
        <v>2</v>
      </c>
      <c r="R144" s="1247">
        <v>908800</v>
      </c>
      <c r="S144" s="168">
        <v>2</v>
      </c>
      <c r="T144" s="1247">
        <v>908800</v>
      </c>
      <c r="U144" s="168">
        <v>2</v>
      </c>
      <c r="V144" s="1247">
        <v>908800</v>
      </c>
      <c r="W144" s="163"/>
      <c r="X144" s="1473"/>
      <c r="Y144" s="1257" t="s">
        <v>1156</v>
      </c>
    </row>
    <row r="145" spans="2:25" ht="38.25" x14ac:dyDescent="0.25">
      <c r="B145" s="1603"/>
      <c r="C145" s="675"/>
      <c r="D145" s="675"/>
      <c r="E145" s="675"/>
      <c r="F145" s="675"/>
      <c r="G145" s="173" t="s">
        <v>1348</v>
      </c>
      <c r="H145" s="173" t="s">
        <v>1348</v>
      </c>
      <c r="I145" s="1473" t="s">
        <v>75</v>
      </c>
      <c r="J145" s="1246">
        <v>3</v>
      </c>
      <c r="K145" s="1246">
        <v>4</v>
      </c>
      <c r="L145" s="1247">
        <v>1232000</v>
      </c>
      <c r="M145" s="168">
        <v>4</v>
      </c>
      <c r="N145" s="1247">
        <v>1355200</v>
      </c>
      <c r="O145" s="168">
        <v>4</v>
      </c>
      <c r="P145" s="1247">
        <v>1232000</v>
      </c>
      <c r="Q145" s="168">
        <v>4</v>
      </c>
      <c r="R145" s="1247">
        <v>1232000</v>
      </c>
      <c r="S145" s="168">
        <v>3</v>
      </c>
      <c r="T145" s="1247">
        <v>924000</v>
      </c>
      <c r="U145" s="168">
        <v>3</v>
      </c>
      <c r="V145" s="1247">
        <v>924000</v>
      </c>
      <c r="W145" s="163"/>
      <c r="X145" s="1473"/>
      <c r="Y145" s="1257" t="s">
        <v>1156</v>
      </c>
    </row>
    <row r="146" spans="2:25" x14ac:dyDescent="0.25">
      <c r="B146" s="1482"/>
      <c r="C146" s="1479"/>
      <c r="D146" s="1479"/>
      <c r="E146" s="1479"/>
      <c r="F146" s="173"/>
      <c r="G146" s="173"/>
      <c r="H146" s="173"/>
      <c r="I146" s="1473"/>
      <c r="J146" s="1245"/>
      <c r="K146" s="1245"/>
      <c r="L146" s="1247"/>
      <c r="M146" s="163"/>
      <c r="N146" s="1247"/>
      <c r="O146" s="163"/>
      <c r="P146" s="1247"/>
      <c r="Q146" s="163"/>
      <c r="R146" s="1247"/>
      <c r="S146" s="163"/>
      <c r="T146" s="1247"/>
      <c r="U146" s="163"/>
      <c r="V146" s="1247"/>
      <c r="W146" s="163"/>
      <c r="X146" s="1473"/>
      <c r="Y146" s="1257" t="s">
        <v>1156</v>
      </c>
    </row>
    <row r="147" spans="2:25" ht="76.5" x14ac:dyDescent="0.25">
      <c r="B147" s="2022" t="s">
        <v>33</v>
      </c>
      <c r="C147" s="721" t="s">
        <v>34</v>
      </c>
      <c r="D147" s="721" t="s">
        <v>3822</v>
      </c>
      <c r="E147" s="721" t="s">
        <v>3867</v>
      </c>
      <c r="F147" s="173" t="s">
        <v>3866</v>
      </c>
      <c r="G147" s="173" t="s">
        <v>3133</v>
      </c>
      <c r="H147" s="173"/>
      <c r="I147" s="1473" t="s">
        <v>19</v>
      </c>
      <c r="J147" s="1245">
        <v>90</v>
      </c>
      <c r="K147" s="1245">
        <v>91</v>
      </c>
      <c r="L147" s="1246"/>
      <c r="M147" s="163">
        <v>92</v>
      </c>
      <c r="N147" s="1246"/>
      <c r="O147" s="163">
        <v>93</v>
      </c>
      <c r="P147" s="1246"/>
      <c r="Q147" s="163">
        <v>94</v>
      </c>
      <c r="R147" s="1246"/>
      <c r="S147" s="163">
        <v>95</v>
      </c>
      <c r="T147" s="1246"/>
      <c r="U147" s="163">
        <v>96</v>
      </c>
      <c r="V147" s="1246"/>
      <c r="W147" s="163">
        <f>U147</f>
        <v>96</v>
      </c>
      <c r="X147" s="173"/>
      <c r="Y147" s="1257" t="s">
        <v>1156</v>
      </c>
    </row>
    <row r="148" spans="2:25" ht="63.75" x14ac:dyDescent="0.25">
      <c r="B148" s="2023"/>
      <c r="C148" s="733"/>
      <c r="D148" s="733"/>
      <c r="E148" s="733"/>
      <c r="F148" s="1477"/>
      <c r="G148" s="673" t="s">
        <v>1155</v>
      </c>
      <c r="H148" s="1476" t="s">
        <v>386</v>
      </c>
      <c r="I148" s="1473" t="s">
        <v>19</v>
      </c>
      <c r="J148" s="1245">
        <v>100</v>
      </c>
      <c r="K148" s="1245">
        <v>20</v>
      </c>
      <c r="L148" s="1247">
        <f>SUM(L151:L164)</f>
        <v>7098656</v>
      </c>
      <c r="M148" s="163">
        <v>20</v>
      </c>
      <c r="N148" s="1247">
        <f>SUM(N151:N164)</f>
        <v>7989781.5999999996</v>
      </c>
      <c r="O148" s="163">
        <v>15</v>
      </c>
      <c r="P148" s="1247">
        <f>SUM(P151:P164)</f>
        <v>7532064.2599999998</v>
      </c>
      <c r="Q148" s="163">
        <v>15</v>
      </c>
      <c r="R148" s="1247">
        <f>SUM(R151:R164)</f>
        <v>7698369.9359999998</v>
      </c>
      <c r="S148" s="163">
        <v>15</v>
      </c>
      <c r="T148" s="1247">
        <f>SUM(T151:T164)</f>
        <v>7881306.8295999998</v>
      </c>
      <c r="U148" s="163">
        <v>15</v>
      </c>
      <c r="V148" s="1247">
        <f>SUM(V151:V164)</f>
        <v>8671438.2220599987</v>
      </c>
      <c r="W148" s="163">
        <v>100</v>
      </c>
      <c r="X148" s="1473"/>
      <c r="Y148" s="1257" t="s">
        <v>1156</v>
      </c>
    </row>
    <row r="149" spans="2:25" ht="38.25" x14ac:dyDescent="0.25">
      <c r="B149" s="2023"/>
      <c r="C149" s="720"/>
      <c r="D149" s="720"/>
      <c r="E149" s="720"/>
      <c r="F149" s="1478"/>
      <c r="G149" s="674"/>
      <c r="H149" s="1476" t="s">
        <v>3682</v>
      </c>
      <c r="I149" s="1473" t="s">
        <v>19</v>
      </c>
      <c r="J149" s="1245">
        <v>100</v>
      </c>
      <c r="K149" s="1245">
        <v>20</v>
      </c>
      <c r="L149" s="1247">
        <v>1535078</v>
      </c>
      <c r="M149" s="163">
        <v>20</v>
      </c>
      <c r="N149" s="1247">
        <f>L149+(L149*10%)</f>
        <v>1688585.8</v>
      </c>
      <c r="O149" s="163">
        <v>15</v>
      </c>
      <c r="P149" s="1247">
        <f>N149+(N149*10%)</f>
        <v>1857444.3800000001</v>
      </c>
      <c r="Q149" s="163">
        <v>15</v>
      </c>
      <c r="R149" s="1247">
        <f>P149+(P149*10%)</f>
        <v>2043188.8180000002</v>
      </c>
      <c r="S149" s="163">
        <v>15</v>
      </c>
      <c r="T149" s="1247">
        <f>R149+(R149*10%)</f>
        <v>2247507.6998000001</v>
      </c>
      <c r="U149" s="163">
        <v>15</v>
      </c>
      <c r="V149" s="1247">
        <f>T149+(T149*10%)</f>
        <v>2472258.4697799999</v>
      </c>
      <c r="W149" s="163">
        <v>100</v>
      </c>
      <c r="X149" s="1473"/>
      <c r="Y149" s="1257" t="s">
        <v>3683</v>
      </c>
    </row>
    <row r="150" spans="2:25" ht="38.25" x14ac:dyDescent="0.25">
      <c r="B150" s="2023"/>
      <c r="C150" s="720"/>
      <c r="D150" s="720"/>
      <c r="E150" s="720"/>
      <c r="F150" s="1478"/>
      <c r="G150" s="675"/>
      <c r="H150" s="1476" t="s">
        <v>3684</v>
      </c>
      <c r="I150" s="1473" t="s">
        <v>19</v>
      </c>
      <c r="J150" s="1245">
        <v>100</v>
      </c>
      <c r="K150" s="1245">
        <v>20</v>
      </c>
      <c r="L150" s="1247">
        <v>1847793</v>
      </c>
      <c r="M150" s="163">
        <v>20</v>
      </c>
      <c r="N150" s="1247">
        <f>L150+(L150*10%)</f>
        <v>2032572.3</v>
      </c>
      <c r="O150" s="163">
        <v>15</v>
      </c>
      <c r="P150" s="1247">
        <f>N150+(N150*10%)</f>
        <v>2235829.5300000003</v>
      </c>
      <c r="Q150" s="163">
        <v>15</v>
      </c>
      <c r="R150" s="1247">
        <f>P150+(P150*10%)</f>
        <v>2459412.4830000005</v>
      </c>
      <c r="S150" s="163">
        <v>15</v>
      </c>
      <c r="T150" s="1247">
        <f>R150+(R150*10%)</f>
        <v>2705353.7313000006</v>
      </c>
      <c r="U150" s="163">
        <v>15</v>
      </c>
      <c r="V150" s="1247">
        <f>T150+(T150*10%)</f>
        <v>2975889.1044300008</v>
      </c>
      <c r="W150" s="163">
        <v>100</v>
      </c>
      <c r="X150" s="1473"/>
      <c r="Y150" s="1257" t="s">
        <v>3670</v>
      </c>
    </row>
    <row r="151" spans="2:25" ht="38.25" x14ac:dyDescent="0.25">
      <c r="B151" s="2023"/>
      <c r="C151" s="720"/>
      <c r="D151" s="720"/>
      <c r="E151" s="720"/>
      <c r="F151" s="1478"/>
      <c r="G151" s="173" t="s">
        <v>124</v>
      </c>
      <c r="H151" s="1476" t="s">
        <v>1157</v>
      </c>
      <c r="I151" s="1250" t="s">
        <v>1158</v>
      </c>
      <c r="J151" s="1254"/>
      <c r="K151" s="1247">
        <v>12</v>
      </c>
      <c r="L151" s="1247">
        <v>4000</v>
      </c>
      <c r="M151" s="168">
        <v>12</v>
      </c>
      <c r="N151" s="1247">
        <v>4400</v>
      </c>
      <c r="O151" s="168">
        <v>12</v>
      </c>
      <c r="P151" s="1247">
        <v>4840</v>
      </c>
      <c r="Q151" s="168">
        <v>12</v>
      </c>
      <c r="R151" s="1247">
        <v>5324</v>
      </c>
      <c r="S151" s="168">
        <v>12</v>
      </c>
      <c r="T151" s="1247">
        <v>5856.4</v>
      </c>
      <c r="U151" s="168">
        <v>12</v>
      </c>
      <c r="V151" s="1247">
        <v>6442.04</v>
      </c>
      <c r="W151" s="163"/>
      <c r="X151" s="1473"/>
      <c r="Y151" s="1257" t="s">
        <v>1156</v>
      </c>
    </row>
    <row r="152" spans="2:25" ht="38.25" x14ac:dyDescent="0.25">
      <c r="B152" s="2023"/>
      <c r="C152" s="720"/>
      <c r="D152" s="720"/>
      <c r="E152" s="720"/>
      <c r="F152" s="1478"/>
      <c r="G152" s="173" t="s">
        <v>126</v>
      </c>
      <c r="H152" s="1476" t="s">
        <v>1159</v>
      </c>
      <c r="I152" s="1250" t="s">
        <v>1158</v>
      </c>
      <c r="J152" s="1254"/>
      <c r="K152" s="1247">
        <v>12</v>
      </c>
      <c r="L152" s="1247">
        <v>93500</v>
      </c>
      <c r="M152" s="168">
        <v>12</v>
      </c>
      <c r="N152" s="1247">
        <v>121940</v>
      </c>
      <c r="O152" s="168">
        <v>12</v>
      </c>
      <c r="P152" s="1247">
        <v>114128.5</v>
      </c>
      <c r="Q152" s="168">
        <v>12</v>
      </c>
      <c r="R152" s="1247">
        <v>127541.35</v>
      </c>
      <c r="S152" s="168">
        <v>12</v>
      </c>
      <c r="T152" s="1247">
        <v>142295.48499999999</v>
      </c>
      <c r="U152" s="168">
        <v>12</v>
      </c>
      <c r="V152" s="1247">
        <v>158525.03349999999</v>
      </c>
      <c r="W152" s="163"/>
      <c r="X152" s="1473"/>
      <c r="Y152" s="1257" t="s">
        <v>1156</v>
      </c>
    </row>
    <row r="153" spans="2:25" ht="38.25" x14ac:dyDescent="0.25">
      <c r="B153" s="2023"/>
      <c r="C153" s="720"/>
      <c r="D153" s="720"/>
      <c r="E153" s="720"/>
      <c r="F153" s="1244"/>
      <c r="G153" s="1348" t="s">
        <v>43</v>
      </c>
      <c r="H153" s="1476" t="s">
        <v>1160</v>
      </c>
      <c r="I153" s="1250" t="s">
        <v>1158</v>
      </c>
      <c r="J153" s="1254"/>
      <c r="K153" s="1247">
        <v>12</v>
      </c>
      <c r="L153" s="1247">
        <v>164406</v>
      </c>
      <c r="M153" s="168">
        <v>12</v>
      </c>
      <c r="N153" s="1247">
        <v>180846.6</v>
      </c>
      <c r="O153" s="168">
        <v>12</v>
      </c>
      <c r="P153" s="1247">
        <v>198931.26</v>
      </c>
      <c r="Q153" s="168">
        <v>12</v>
      </c>
      <c r="R153" s="1247">
        <v>218824.386</v>
      </c>
      <c r="S153" s="168">
        <v>12</v>
      </c>
      <c r="T153" s="1247">
        <v>240706.82459999999</v>
      </c>
      <c r="U153" s="168">
        <v>12</v>
      </c>
      <c r="V153" s="1247">
        <v>264777.50705999997</v>
      </c>
      <c r="W153" s="163"/>
      <c r="X153" s="1473"/>
      <c r="Y153" s="1257" t="s">
        <v>1156</v>
      </c>
    </row>
    <row r="154" spans="2:25" ht="51" x14ac:dyDescent="0.25">
      <c r="B154" s="2023"/>
      <c r="C154" s="720"/>
      <c r="D154" s="720"/>
      <c r="E154" s="720"/>
      <c r="F154" s="1244"/>
      <c r="G154" s="173" t="s">
        <v>45</v>
      </c>
      <c r="H154" s="1476" t="s">
        <v>1161</v>
      </c>
      <c r="I154" s="1250" t="s">
        <v>1158</v>
      </c>
      <c r="J154" s="1254"/>
      <c r="K154" s="1247">
        <v>12</v>
      </c>
      <c r="L154" s="1247">
        <v>125000</v>
      </c>
      <c r="M154" s="168">
        <v>12</v>
      </c>
      <c r="N154" s="1247">
        <v>151250</v>
      </c>
      <c r="O154" s="168">
        <v>12</v>
      </c>
      <c r="P154" s="1247">
        <v>166375</v>
      </c>
      <c r="Q154" s="168">
        <v>12</v>
      </c>
      <c r="R154" s="1247">
        <v>183012.5</v>
      </c>
      <c r="S154" s="168">
        <v>12</v>
      </c>
      <c r="T154" s="1247">
        <v>201313.75</v>
      </c>
      <c r="U154" s="168">
        <v>12</v>
      </c>
      <c r="V154" s="1247">
        <v>221445.125</v>
      </c>
      <c r="W154" s="163"/>
      <c r="X154" s="1473"/>
      <c r="Y154" s="1257" t="s">
        <v>1156</v>
      </c>
    </row>
    <row r="155" spans="2:25" ht="51" x14ac:dyDescent="0.25">
      <c r="B155" s="2023"/>
      <c r="C155" s="720"/>
      <c r="D155" s="720"/>
      <c r="E155" s="720"/>
      <c r="F155" s="1244"/>
      <c r="G155" s="173" t="s">
        <v>47</v>
      </c>
      <c r="H155" s="1476" t="s">
        <v>1162</v>
      </c>
      <c r="I155" s="1250" t="s">
        <v>1158</v>
      </c>
      <c r="J155" s="1254"/>
      <c r="K155" s="1247">
        <v>12</v>
      </c>
      <c r="L155" s="1247">
        <v>14500</v>
      </c>
      <c r="M155" s="168">
        <v>12</v>
      </c>
      <c r="N155" s="1247">
        <v>17545</v>
      </c>
      <c r="O155" s="168">
        <v>12</v>
      </c>
      <c r="P155" s="1247">
        <v>19299.5</v>
      </c>
      <c r="Q155" s="168">
        <v>12</v>
      </c>
      <c r="R155" s="1247">
        <v>21229.45</v>
      </c>
      <c r="S155" s="168">
        <v>12</v>
      </c>
      <c r="T155" s="1247">
        <v>23352.395</v>
      </c>
      <c r="U155" s="168">
        <v>12</v>
      </c>
      <c r="V155" s="1247">
        <v>25687.633999999998</v>
      </c>
      <c r="W155" s="163"/>
      <c r="X155" s="1473"/>
      <c r="Y155" s="1257" t="s">
        <v>1156</v>
      </c>
    </row>
    <row r="156" spans="2:25" ht="25.5" x14ac:dyDescent="0.25">
      <c r="B156" s="2023"/>
      <c r="C156" s="720"/>
      <c r="D156" s="720"/>
      <c r="E156" s="720"/>
      <c r="F156" s="1244"/>
      <c r="G156" s="173" t="s">
        <v>130</v>
      </c>
      <c r="H156" s="1476" t="s">
        <v>1163</v>
      </c>
      <c r="I156" s="1250" t="s">
        <v>1158</v>
      </c>
      <c r="J156" s="1254"/>
      <c r="K156" s="1247">
        <v>12</v>
      </c>
      <c r="L156" s="1247">
        <v>43500</v>
      </c>
      <c r="M156" s="168">
        <v>12</v>
      </c>
      <c r="N156" s="1247">
        <v>47850</v>
      </c>
      <c r="O156" s="168">
        <v>12</v>
      </c>
      <c r="P156" s="1247">
        <v>52635</v>
      </c>
      <c r="Q156" s="168">
        <v>12</v>
      </c>
      <c r="R156" s="1247">
        <v>57898.5</v>
      </c>
      <c r="S156" s="168">
        <v>12</v>
      </c>
      <c r="T156" s="1247">
        <v>63688.35</v>
      </c>
      <c r="U156" s="168">
        <v>12</v>
      </c>
      <c r="V156" s="1247">
        <v>70057.184999999998</v>
      </c>
      <c r="W156" s="163"/>
      <c r="X156" s="1473"/>
      <c r="Y156" s="1257" t="s">
        <v>1156</v>
      </c>
    </row>
    <row r="157" spans="2:25" ht="25.5" x14ac:dyDescent="0.25">
      <c r="B157" s="2023"/>
      <c r="C157" s="720"/>
      <c r="D157" s="720"/>
      <c r="E157" s="720"/>
      <c r="F157" s="1244"/>
      <c r="G157" s="173" t="s">
        <v>50</v>
      </c>
      <c r="H157" s="1476" t="s">
        <v>51</v>
      </c>
      <c r="I157" s="1250" t="s">
        <v>1158</v>
      </c>
      <c r="J157" s="1254"/>
      <c r="K157" s="1247">
        <v>12</v>
      </c>
      <c r="L157" s="1247">
        <v>90000</v>
      </c>
      <c r="M157" s="168">
        <v>12</v>
      </c>
      <c r="N157" s="1247">
        <v>163900</v>
      </c>
      <c r="O157" s="168">
        <v>12</v>
      </c>
      <c r="P157" s="1247">
        <v>180290</v>
      </c>
      <c r="Q157" s="168">
        <v>12</v>
      </c>
      <c r="R157" s="1247">
        <v>198319</v>
      </c>
      <c r="S157" s="168">
        <v>12</v>
      </c>
      <c r="T157" s="1247">
        <v>218150.9</v>
      </c>
      <c r="U157" s="168">
        <v>12</v>
      </c>
      <c r="V157" s="1247">
        <v>239966</v>
      </c>
      <c r="W157" s="163"/>
      <c r="X157" s="1473"/>
      <c r="Y157" s="1257" t="s">
        <v>1156</v>
      </c>
    </row>
    <row r="158" spans="2:25" ht="51" x14ac:dyDescent="0.25">
      <c r="B158" s="2023"/>
      <c r="C158" s="720"/>
      <c r="D158" s="720"/>
      <c r="E158" s="720"/>
      <c r="F158" s="1244"/>
      <c r="G158" s="173" t="s">
        <v>52</v>
      </c>
      <c r="H158" s="1476" t="s">
        <v>1164</v>
      </c>
      <c r="I158" s="1250" t="s">
        <v>1158</v>
      </c>
      <c r="J158" s="1254"/>
      <c r="K158" s="1247">
        <v>12</v>
      </c>
      <c r="L158" s="1247">
        <v>87500</v>
      </c>
      <c r="M158" s="168">
        <v>12</v>
      </c>
      <c r="N158" s="1247">
        <v>96250</v>
      </c>
      <c r="O158" s="168">
        <v>12</v>
      </c>
      <c r="P158" s="1247">
        <v>105875</v>
      </c>
      <c r="Q158" s="168">
        <v>12</v>
      </c>
      <c r="R158" s="1247">
        <v>116462.5</v>
      </c>
      <c r="S158" s="168">
        <v>12</v>
      </c>
      <c r="T158" s="1247">
        <v>128108.75</v>
      </c>
      <c r="U158" s="168">
        <v>12</v>
      </c>
      <c r="V158" s="1247">
        <v>140919.625</v>
      </c>
      <c r="W158" s="163"/>
      <c r="X158" s="1473"/>
      <c r="Y158" s="1257" t="s">
        <v>1156</v>
      </c>
    </row>
    <row r="159" spans="2:25" ht="38.25" x14ac:dyDescent="0.25">
      <c r="B159" s="2023"/>
      <c r="C159" s="720"/>
      <c r="D159" s="720"/>
      <c r="E159" s="720"/>
      <c r="F159" s="1244"/>
      <c r="G159" s="173" t="s">
        <v>54</v>
      </c>
      <c r="H159" s="1476" t="s">
        <v>1165</v>
      </c>
      <c r="I159" s="1250" t="s">
        <v>1158</v>
      </c>
      <c r="J159" s="1254"/>
      <c r="K159" s="1247">
        <v>12</v>
      </c>
      <c r="L159" s="1247">
        <v>17500</v>
      </c>
      <c r="M159" s="168">
        <v>12</v>
      </c>
      <c r="N159" s="1247">
        <v>101175</v>
      </c>
      <c r="O159" s="168">
        <v>12</v>
      </c>
      <c r="P159" s="1247">
        <v>111292.5</v>
      </c>
      <c r="Q159" s="168">
        <v>12</v>
      </c>
      <c r="R159" s="1247">
        <v>122421</v>
      </c>
      <c r="S159" s="168">
        <v>12</v>
      </c>
      <c r="T159" s="1247">
        <v>134663</v>
      </c>
      <c r="U159" s="168">
        <v>12</v>
      </c>
      <c r="V159" s="1247">
        <v>148130</v>
      </c>
      <c r="W159" s="163"/>
      <c r="X159" s="1473"/>
      <c r="Y159" s="1257" t="s">
        <v>1156</v>
      </c>
    </row>
    <row r="160" spans="2:25" ht="25.5" x14ac:dyDescent="0.25">
      <c r="B160" s="2023"/>
      <c r="C160" s="720"/>
      <c r="D160" s="720"/>
      <c r="E160" s="720"/>
      <c r="F160" s="1244"/>
      <c r="G160" s="173" t="s">
        <v>56</v>
      </c>
      <c r="H160" s="1476" t="s">
        <v>1166</v>
      </c>
      <c r="I160" s="1250" t="s">
        <v>1158</v>
      </c>
      <c r="J160" s="1254"/>
      <c r="K160" s="1247">
        <v>12</v>
      </c>
      <c r="L160" s="1247">
        <v>4750</v>
      </c>
      <c r="M160" s="168">
        <v>12</v>
      </c>
      <c r="N160" s="1247">
        <v>5225</v>
      </c>
      <c r="O160" s="168">
        <v>12</v>
      </c>
      <c r="P160" s="1247">
        <v>5747.5</v>
      </c>
      <c r="Q160" s="168">
        <v>12</v>
      </c>
      <c r="R160" s="1247">
        <v>6322.25</v>
      </c>
      <c r="S160" s="168">
        <v>12</v>
      </c>
      <c r="T160" s="1247">
        <v>6954.4750000000004</v>
      </c>
      <c r="U160" s="168">
        <v>12</v>
      </c>
      <c r="V160" s="1247">
        <v>7649.9225000000006</v>
      </c>
      <c r="W160" s="163"/>
      <c r="X160" s="1473"/>
      <c r="Y160" s="1257" t="s">
        <v>1156</v>
      </c>
    </row>
    <row r="161" spans="2:25" ht="38.25" x14ac:dyDescent="0.25">
      <c r="B161" s="2023"/>
      <c r="C161" s="720"/>
      <c r="D161" s="720"/>
      <c r="E161" s="720"/>
      <c r="F161" s="1244"/>
      <c r="G161" s="173" t="s">
        <v>58</v>
      </c>
      <c r="H161" s="1476" t="s">
        <v>1167</v>
      </c>
      <c r="I161" s="1250" t="s">
        <v>1158</v>
      </c>
      <c r="J161" s="1254"/>
      <c r="K161" s="1247">
        <v>12</v>
      </c>
      <c r="L161" s="1247">
        <v>135000</v>
      </c>
      <c r="M161" s="168">
        <v>12</v>
      </c>
      <c r="N161" s="1247">
        <v>148500</v>
      </c>
      <c r="O161" s="168">
        <v>12</v>
      </c>
      <c r="P161" s="1247">
        <v>163350</v>
      </c>
      <c r="Q161" s="168">
        <v>12</v>
      </c>
      <c r="R161" s="1247">
        <v>179685</v>
      </c>
      <c r="S161" s="168">
        <v>12</v>
      </c>
      <c r="T161" s="1247">
        <v>197653.5</v>
      </c>
      <c r="U161" s="168">
        <v>12</v>
      </c>
      <c r="V161" s="1247">
        <v>217418.85</v>
      </c>
      <c r="W161" s="163"/>
      <c r="X161" s="1473"/>
      <c r="Y161" s="1257" t="s">
        <v>1156</v>
      </c>
    </row>
    <row r="162" spans="2:25" ht="63.75" x14ac:dyDescent="0.25">
      <c r="B162" s="2023"/>
      <c r="C162" s="720"/>
      <c r="D162" s="720"/>
      <c r="E162" s="720"/>
      <c r="F162" s="1244"/>
      <c r="G162" s="173" t="s">
        <v>137</v>
      </c>
      <c r="H162" s="1476" t="s">
        <v>1168</v>
      </c>
      <c r="I162" s="1250" t="s">
        <v>1158</v>
      </c>
      <c r="J162" s="1254"/>
      <c r="K162" s="1247">
        <v>12</v>
      </c>
      <c r="L162" s="1247">
        <v>260000</v>
      </c>
      <c r="M162" s="168">
        <v>12</v>
      </c>
      <c r="N162" s="1247">
        <v>286000</v>
      </c>
      <c r="O162" s="168">
        <v>12</v>
      </c>
      <c r="P162" s="1247">
        <v>314600</v>
      </c>
      <c r="Q162" s="168">
        <v>12</v>
      </c>
      <c r="R162" s="1247">
        <v>346060</v>
      </c>
      <c r="S162" s="168">
        <v>12</v>
      </c>
      <c r="T162" s="1247">
        <v>380666</v>
      </c>
      <c r="U162" s="168">
        <v>12</v>
      </c>
      <c r="V162" s="1247">
        <v>418732.6</v>
      </c>
      <c r="W162" s="163"/>
      <c r="X162" s="1473"/>
      <c r="Y162" s="1257" t="s">
        <v>1156</v>
      </c>
    </row>
    <row r="163" spans="2:25" ht="76.5" x14ac:dyDescent="0.25">
      <c r="B163" s="2023"/>
      <c r="C163" s="720"/>
      <c r="D163" s="720"/>
      <c r="E163" s="720"/>
      <c r="F163" s="1244"/>
      <c r="G163" s="173" t="s">
        <v>62</v>
      </c>
      <c r="H163" s="1476" t="s">
        <v>1169</v>
      </c>
      <c r="I163" s="1250" t="s">
        <v>19</v>
      </c>
      <c r="J163" s="1254"/>
      <c r="K163" s="1247">
        <v>12</v>
      </c>
      <c r="L163" s="1247">
        <v>5889000</v>
      </c>
      <c r="M163" s="168">
        <v>12</v>
      </c>
      <c r="N163" s="1247">
        <v>6477900</v>
      </c>
      <c r="O163" s="168">
        <v>12</v>
      </c>
      <c r="P163" s="1247">
        <v>5889000</v>
      </c>
      <c r="Q163" s="168">
        <v>12</v>
      </c>
      <c r="R163" s="1247">
        <v>5889000</v>
      </c>
      <c r="S163" s="168">
        <v>12</v>
      </c>
      <c r="T163" s="1247">
        <v>5889000</v>
      </c>
      <c r="U163" s="168">
        <v>12</v>
      </c>
      <c r="V163" s="1247">
        <v>6477900</v>
      </c>
      <c r="W163" s="163"/>
      <c r="X163" s="1473"/>
      <c r="Y163" s="1257" t="s">
        <v>1156</v>
      </c>
    </row>
    <row r="164" spans="2:25" ht="63.75" x14ac:dyDescent="0.25">
      <c r="B164" s="2023"/>
      <c r="C164" s="720"/>
      <c r="D164" s="720"/>
      <c r="E164" s="720"/>
      <c r="F164" s="1244"/>
      <c r="G164" s="173" t="s">
        <v>399</v>
      </c>
      <c r="H164" s="1476" t="s">
        <v>1170</v>
      </c>
      <c r="I164" s="1250" t="s">
        <v>1158</v>
      </c>
      <c r="J164" s="1254"/>
      <c r="K164" s="1247">
        <v>12</v>
      </c>
      <c r="L164" s="1247">
        <v>170000</v>
      </c>
      <c r="M164" s="168">
        <v>12</v>
      </c>
      <c r="N164" s="1247">
        <v>187000</v>
      </c>
      <c r="O164" s="168">
        <v>12</v>
      </c>
      <c r="P164" s="1247">
        <v>205700</v>
      </c>
      <c r="Q164" s="168">
        <v>12</v>
      </c>
      <c r="R164" s="1247">
        <v>226270</v>
      </c>
      <c r="S164" s="168">
        <v>12</v>
      </c>
      <c r="T164" s="1247">
        <v>248897</v>
      </c>
      <c r="U164" s="168">
        <v>12</v>
      </c>
      <c r="V164" s="1247">
        <v>273786.7</v>
      </c>
      <c r="W164" s="163"/>
      <c r="X164" s="1473"/>
      <c r="Y164" s="1257" t="s">
        <v>1156</v>
      </c>
    </row>
    <row r="165" spans="2:25" ht="51" x14ac:dyDescent="0.25">
      <c r="B165" s="2023"/>
      <c r="C165" s="720"/>
      <c r="D165" s="720"/>
      <c r="E165" s="720"/>
      <c r="F165" s="1244"/>
      <c r="G165" s="173" t="s">
        <v>65</v>
      </c>
      <c r="H165" s="1476" t="s">
        <v>989</v>
      </c>
      <c r="I165" s="1473" t="s">
        <v>19</v>
      </c>
      <c r="J165" s="1245">
        <v>100</v>
      </c>
      <c r="K165" s="1246">
        <v>20</v>
      </c>
      <c r="L165" s="1247">
        <f>SUM(L166:L175)</f>
        <v>7449090</v>
      </c>
      <c r="M165" s="168">
        <v>20</v>
      </c>
      <c r="N165" s="1247">
        <f>SUM(N166:N175)</f>
        <v>12030292.6</v>
      </c>
      <c r="O165" s="168">
        <v>15</v>
      </c>
      <c r="P165" s="1247">
        <f>SUM(P166:P175)</f>
        <v>9490043.6600000001</v>
      </c>
      <c r="Q165" s="168">
        <v>15</v>
      </c>
      <c r="R165" s="1247">
        <f>SUM(R166:R175)</f>
        <v>18790344.825999998</v>
      </c>
      <c r="S165" s="168">
        <v>15</v>
      </c>
      <c r="T165" s="1247">
        <f>SUM(T166:T175)</f>
        <v>9820676.1085999999</v>
      </c>
      <c r="U165" s="168">
        <v>15</v>
      </c>
      <c r="V165" s="1247">
        <f>SUM(V166:V175)</f>
        <v>9987540.5194600001</v>
      </c>
      <c r="W165" s="163">
        <v>100</v>
      </c>
      <c r="X165" s="1473"/>
      <c r="Y165" s="1257" t="s">
        <v>1156</v>
      </c>
    </row>
    <row r="166" spans="2:25" ht="51" x14ac:dyDescent="0.25">
      <c r="B166" s="2023"/>
      <c r="C166" s="720"/>
      <c r="D166" s="720"/>
      <c r="E166" s="720"/>
      <c r="F166" s="1244"/>
      <c r="G166" s="173" t="s">
        <v>1171</v>
      </c>
      <c r="H166" s="1476" t="s">
        <v>1172</v>
      </c>
      <c r="I166" s="1473" t="s">
        <v>1173</v>
      </c>
      <c r="J166" s="1245"/>
      <c r="K166" s="1246">
        <v>2</v>
      </c>
      <c r="L166" s="1247">
        <v>2160000</v>
      </c>
      <c r="M166" s="168">
        <v>4</v>
      </c>
      <c r="N166" s="1247">
        <v>3247500</v>
      </c>
      <c r="O166" s="168">
        <v>1</v>
      </c>
      <c r="P166" s="1247">
        <v>1080000</v>
      </c>
      <c r="Q166" s="168">
        <v>1</v>
      </c>
      <c r="R166" s="1247">
        <v>10080000</v>
      </c>
      <c r="S166" s="168">
        <v>1</v>
      </c>
      <c r="T166" s="1247">
        <v>1080000</v>
      </c>
      <c r="U166" s="168">
        <v>0</v>
      </c>
      <c r="V166" s="1247">
        <v>1080000</v>
      </c>
      <c r="W166" s="163"/>
      <c r="X166" s="1473"/>
      <c r="Y166" s="1257" t="s">
        <v>1156</v>
      </c>
    </row>
    <row r="167" spans="2:25" ht="51" x14ac:dyDescent="0.25">
      <c r="B167" s="2023"/>
      <c r="C167" s="720"/>
      <c r="D167" s="720"/>
      <c r="E167" s="720"/>
      <c r="F167" s="1244"/>
      <c r="G167" s="173" t="s">
        <v>1174</v>
      </c>
      <c r="H167" s="1476" t="s">
        <v>1175</v>
      </c>
      <c r="I167" s="1473" t="s">
        <v>75</v>
      </c>
      <c r="J167" s="1245"/>
      <c r="K167" s="1246">
        <v>15</v>
      </c>
      <c r="L167" s="1247">
        <v>185000</v>
      </c>
      <c r="M167" s="168">
        <v>15</v>
      </c>
      <c r="N167" s="1247">
        <v>203500</v>
      </c>
      <c r="O167" s="168">
        <v>15</v>
      </c>
      <c r="P167" s="1247">
        <v>185000</v>
      </c>
      <c r="Q167" s="168">
        <v>15</v>
      </c>
      <c r="R167" s="1247">
        <v>185000</v>
      </c>
      <c r="S167" s="168">
        <v>15</v>
      </c>
      <c r="T167" s="1247">
        <v>185000</v>
      </c>
      <c r="U167" s="168">
        <v>15</v>
      </c>
      <c r="V167" s="1247">
        <v>203500</v>
      </c>
      <c r="W167" s="163"/>
      <c r="X167" s="1473"/>
      <c r="Y167" s="1257" t="s">
        <v>1156</v>
      </c>
    </row>
    <row r="168" spans="2:25" ht="51" x14ac:dyDescent="0.25">
      <c r="B168" s="2023"/>
      <c r="C168" s="720"/>
      <c r="D168" s="720"/>
      <c r="E168" s="720"/>
      <c r="F168" s="1244"/>
      <c r="G168" s="173" t="s">
        <v>67</v>
      </c>
      <c r="H168" s="1476" t="s">
        <v>1176</v>
      </c>
      <c r="I168" s="1473" t="s">
        <v>40</v>
      </c>
      <c r="J168" s="1245"/>
      <c r="K168" s="1246">
        <v>12</v>
      </c>
      <c r="L168" s="1247">
        <v>0</v>
      </c>
      <c r="M168" s="168">
        <v>12</v>
      </c>
      <c r="N168" s="1247">
        <v>677250</v>
      </c>
      <c r="O168" s="168">
        <v>12</v>
      </c>
      <c r="P168" s="1247">
        <v>55000</v>
      </c>
      <c r="Q168" s="168">
        <v>12</v>
      </c>
      <c r="R168" s="1247">
        <v>60500</v>
      </c>
      <c r="S168" s="168">
        <v>12</v>
      </c>
      <c r="T168" s="1247">
        <v>66550</v>
      </c>
      <c r="U168" s="168">
        <v>12</v>
      </c>
      <c r="V168" s="1247">
        <v>73205</v>
      </c>
      <c r="W168" s="163"/>
      <c r="X168" s="1473"/>
      <c r="Y168" s="1257" t="s">
        <v>1156</v>
      </c>
    </row>
    <row r="169" spans="2:25" ht="38.25" x14ac:dyDescent="0.25">
      <c r="B169" s="2023"/>
      <c r="C169" s="720"/>
      <c r="D169" s="720"/>
      <c r="E169" s="720"/>
      <c r="F169" s="1244"/>
      <c r="G169" s="173"/>
      <c r="H169" s="1476" t="s">
        <v>3685</v>
      </c>
      <c r="I169" s="1473"/>
      <c r="J169" s="1245"/>
      <c r="K169" s="1246"/>
      <c r="L169" s="1247">
        <v>4072032</v>
      </c>
      <c r="M169" s="168">
        <v>12</v>
      </c>
      <c r="N169" s="1247">
        <v>4072032</v>
      </c>
      <c r="O169" s="168">
        <v>12</v>
      </c>
      <c r="P169" s="1247">
        <v>4072032</v>
      </c>
      <c r="Q169" s="168">
        <v>12</v>
      </c>
      <c r="R169" s="1247">
        <v>4072032</v>
      </c>
      <c r="S169" s="168">
        <v>12</v>
      </c>
      <c r="T169" s="1247">
        <v>4072032</v>
      </c>
      <c r="U169" s="168">
        <v>12</v>
      </c>
      <c r="V169" s="1247">
        <v>4072032</v>
      </c>
      <c r="W169" s="163"/>
      <c r="X169" s="1473"/>
      <c r="Y169" s="1257" t="s">
        <v>3683</v>
      </c>
    </row>
    <row r="170" spans="2:25" ht="25.5" x14ac:dyDescent="0.25">
      <c r="B170" s="2023"/>
      <c r="C170" s="720"/>
      <c r="D170" s="720"/>
      <c r="E170" s="720"/>
      <c r="F170" s="1244"/>
      <c r="G170" s="173"/>
      <c r="H170" s="1476" t="s">
        <v>3686</v>
      </c>
      <c r="I170" s="1473"/>
      <c r="J170" s="1245"/>
      <c r="K170" s="1246"/>
      <c r="L170" s="1247">
        <v>309131</v>
      </c>
      <c r="M170" s="168">
        <v>12</v>
      </c>
      <c r="N170" s="1247">
        <v>309131</v>
      </c>
      <c r="O170" s="168">
        <v>12</v>
      </c>
      <c r="P170" s="1247">
        <f>N170+(N170*10%)</f>
        <v>340044.1</v>
      </c>
      <c r="Q170" s="168">
        <v>12</v>
      </c>
      <c r="R170" s="1247">
        <f>P170+(P170*10%)</f>
        <v>374048.50999999995</v>
      </c>
      <c r="S170" s="168">
        <v>12</v>
      </c>
      <c r="T170" s="1247">
        <f>R170+(R170*10%)</f>
        <v>411453.36099999992</v>
      </c>
      <c r="U170" s="168">
        <v>12</v>
      </c>
      <c r="V170" s="1247">
        <f>T170+(T170*10%)</f>
        <v>452598.69709999993</v>
      </c>
      <c r="W170" s="163"/>
      <c r="X170" s="1473"/>
      <c r="Y170" s="1257" t="s">
        <v>3670</v>
      </c>
    </row>
    <row r="171" spans="2:25" ht="51" x14ac:dyDescent="0.25">
      <c r="B171" s="2023"/>
      <c r="C171" s="720"/>
      <c r="D171" s="720"/>
      <c r="E171" s="720"/>
      <c r="F171" s="1244"/>
      <c r="G171" s="173" t="s">
        <v>402</v>
      </c>
      <c r="H171" s="1476" t="s">
        <v>1177</v>
      </c>
      <c r="I171" s="1473" t="s">
        <v>40</v>
      </c>
      <c r="J171" s="1245"/>
      <c r="K171" s="1246">
        <v>12</v>
      </c>
      <c r="L171" s="1247">
        <v>242000</v>
      </c>
      <c r="M171" s="168">
        <v>12</v>
      </c>
      <c r="N171" s="1247">
        <v>266200</v>
      </c>
      <c r="O171" s="168">
        <v>12</v>
      </c>
      <c r="P171" s="1247">
        <v>292820</v>
      </c>
      <c r="Q171" s="168">
        <v>12</v>
      </c>
      <c r="R171" s="1247">
        <v>322102</v>
      </c>
      <c r="S171" s="168">
        <v>12</v>
      </c>
      <c r="T171" s="1247">
        <v>354312.19999999995</v>
      </c>
      <c r="U171" s="168">
        <v>12</v>
      </c>
      <c r="V171" s="1247">
        <v>389743.42</v>
      </c>
      <c r="W171" s="163"/>
      <c r="X171" s="1473"/>
      <c r="Y171" s="1257" t="s">
        <v>1156</v>
      </c>
    </row>
    <row r="172" spans="2:25" ht="51" x14ac:dyDescent="0.25">
      <c r="B172" s="2023"/>
      <c r="C172" s="720"/>
      <c r="D172" s="720"/>
      <c r="E172" s="720"/>
      <c r="F172" s="1244"/>
      <c r="G172" s="173" t="s">
        <v>164</v>
      </c>
      <c r="H172" s="1476" t="s">
        <v>1178</v>
      </c>
      <c r="I172" s="1473" t="s">
        <v>40</v>
      </c>
      <c r="J172" s="1245"/>
      <c r="K172" s="1246">
        <v>12</v>
      </c>
      <c r="L172" s="1247">
        <v>82000</v>
      </c>
      <c r="M172" s="168">
        <v>12</v>
      </c>
      <c r="N172" s="1247">
        <v>90200</v>
      </c>
      <c r="O172" s="168">
        <v>12</v>
      </c>
      <c r="P172" s="1247">
        <v>99220</v>
      </c>
      <c r="Q172" s="168">
        <v>12</v>
      </c>
      <c r="R172" s="1247">
        <v>109142</v>
      </c>
      <c r="S172" s="168">
        <v>12</v>
      </c>
      <c r="T172" s="1247">
        <v>120056.19999999998</v>
      </c>
      <c r="U172" s="168">
        <v>12</v>
      </c>
      <c r="V172" s="1247">
        <v>132061.81999999998</v>
      </c>
      <c r="W172" s="163"/>
      <c r="X172" s="1473"/>
      <c r="Y172" s="1257" t="s">
        <v>1156</v>
      </c>
    </row>
    <row r="173" spans="2:25" ht="38.25" x14ac:dyDescent="0.25">
      <c r="B173" s="2023"/>
      <c r="C173" s="720"/>
      <c r="D173" s="720"/>
      <c r="E173" s="720"/>
      <c r="F173" s="1244"/>
      <c r="G173" s="173"/>
      <c r="H173" s="1476" t="s">
        <v>3685</v>
      </c>
      <c r="I173" s="1473" t="s">
        <v>40</v>
      </c>
      <c r="J173" s="1245"/>
      <c r="K173" s="1246">
        <v>12</v>
      </c>
      <c r="L173" s="1247">
        <v>89796</v>
      </c>
      <c r="M173" s="168">
        <v>12</v>
      </c>
      <c r="N173" s="1247">
        <f>L173+(L173*10%)</f>
        <v>98775.6</v>
      </c>
      <c r="O173" s="168">
        <v>12</v>
      </c>
      <c r="P173" s="1247">
        <f>N173+(N173*10%)</f>
        <v>108653.16</v>
      </c>
      <c r="Q173" s="168">
        <v>12</v>
      </c>
      <c r="R173" s="1247">
        <f>P173+(P173*10%)</f>
        <v>119518.47600000001</v>
      </c>
      <c r="S173" s="168">
        <v>12</v>
      </c>
      <c r="T173" s="1247">
        <f>R173+(R173*10%)</f>
        <v>131470.3236</v>
      </c>
      <c r="U173" s="168">
        <v>12</v>
      </c>
      <c r="V173" s="1247">
        <f>T173+(T173*10%)</f>
        <v>144617.35596000002</v>
      </c>
      <c r="W173" s="163"/>
      <c r="X173" s="1473"/>
      <c r="Y173" s="1257" t="s">
        <v>3683</v>
      </c>
    </row>
    <row r="174" spans="2:25" ht="38.25" x14ac:dyDescent="0.25">
      <c r="B174" s="2023"/>
      <c r="C174" s="720"/>
      <c r="D174" s="720"/>
      <c r="E174" s="720"/>
      <c r="F174" s="1244"/>
      <c r="G174" s="173"/>
      <c r="H174" s="1476" t="s">
        <v>3686</v>
      </c>
      <c r="I174" s="1473" t="s">
        <v>40</v>
      </c>
      <c r="J174" s="1245"/>
      <c r="K174" s="1246">
        <v>12</v>
      </c>
      <c r="L174" s="1247">
        <v>309131</v>
      </c>
      <c r="M174" s="168">
        <v>12</v>
      </c>
      <c r="N174" s="1247">
        <v>1915704</v>
      </c>
      <c r="O174" s="168">
        <v>12</v>
      </c>
      <c r="P174" s="1247">
        <f>N174+(N174*10%)</f>
        <v>2107274.4</v>
      </c>
      <c r="Q174" s="168">
        <v>12</v>
      </c>
      <c r="R174" s="1247">
        <f>P174+(P174*10%)</f>
        <v>2318001.84</v>
      </c>
      <c r="S174" s="168">
        <v>12</v>
      </c>
      <c r="T174" s="1247">
        <f>R174+(R174*10%)</f>
        <v>2549802.0239999997</v>
      </c>
      <c r="U174" s="168">
        <v>12</v>
      </c>
      <c r="V174" s="1247">
        <f>T174+(T174*10%)</f>
        <v>2804782.2263999996</v>
      </c>
      <c r="W174" s="163"/>
      <c r="X174" s="1473"/>
      <c r="Y174" s="1257" t="s">
        <v>3687</v>
      </c>
    </row>
    <row r="175" spans="2:25" ht="76.5" x14ac:dyDescent="0.25">
      <c r="B175" s="2023"/>
      <c r="C175" s="720"/>
      <c r="D175" s="720"/>
      <c r="E175" s="720"/>
      <c r="F175" s="1244"/>
      <c r="G175" s="173" t="s">
        <v>404</v>
      </c>
      <c r="H175" s="1476" t="s">
        <v>1179</v>
      </c>
      <c r="I175" s="1473" t="s">
        <v>1173</v>
      </c>
      <c r="J175" s="1245"/>
      <c r="K175" s="1246">
        <v>3</v>
      </c>
      <c r="L175" s="1247">
        <v>0</v>
      </c>
      <c r="M175" s="168">
        <v>4</v>
      </c>
      <c r="N175" s="1247">
        <v>1150000</v>
      </c>
      <c r="O175" s="168">
        <v>4</v>
      </c>
      <c r="P175" s="1247">
        <v>1150000</v>
      </c>
      <c r="Q175" s="168">
        <v>4</v>
      </c>
      <c r="R175" s="1247">
        <v>1150000</v>
      </c>
      <c r="S175" s="168">
        <v>3</v>
      </c>
      <c r="T175" s="1247">
        <v>850000</v>
      </c>
      <c r="U175" s="168">
        <v>2</v>
      </c>
      <c r="V175" s="1247">
        <v>635000</v>
      </c>
      <c r="W175" s="163"/>
      <c r="X175" s="1473"/>
      <c r="Y175" s="1257" t="s">
        <v>1156</v>
      </c>
    </row>
    <row r="176" spans="2:25" ht="51" x14ac:dyDescent="0.25">
      <c r="B176" s="2023"/>
      <c r="C176" s="720"/>
      <c r="D176" s="720"/>
      <c r="E176" s="720"/>
      <c r="F176" s="674"/>
      <c r="G176" s="173" t="s">
        <v>167</v>
      </c>
      <c r="H176" s="1476" t="s">
        <v>3111</v>
      </c>
      <c r="I176" s="1473" t="s">
        <v>79</v>
      </c>
      <c r="J176" s="1245">
        <v>5</v>
      </c>
      <c r="K176" s="1245">
        <v>1</v>
      </c>
      <c r="L176" s="1247">
        <f>SUM(L177:L179)</f>
        <v>203650</v>
      </c>
      <c r="M176" s="163">
        <v>1</v>
      </c>
      <c r="N176" s="1247">
        <f>SUM(N177:N179)</f>
        <v>299015</v>
      </c>
      <c r="O176" s="163">
        <v>1</v>
      </c>
      <c r="P176" s="1247">
        <f>SUM(P177:P179)</f>
        <v>321417</v>
      </c>
      <c r="Q176" s="163">
        <v>1</v>
      </c>
      <c r="R176" s="1247">
        <f>SUM(R177:R179)</f>
        <v>346059</v>
      </c>
      <c r="S176" s="163">
        <v>1</v>
      </c>
      <c r="T176" s="1247">
        <f>SUM(T177:T179)</f>
        <v>373164</v>
      </c>
      <c r="U176" s="163">
        <v>1</v>
      </c>
      <c r="V176" s="1247">
        <f>SUM(V177:V179)</f>
        <v>403980</v>
      </c>
      <c r="W176" s="163">
        <f>K176+M176+O176+Q176+S176+U176</f>
        <v>6</v>
      </c>
      <c r="X176" s="173"/>
      <c r="Y176" s="1257" t="s">
        <v>1156</v>
      </c>
    </row>
    <row r="177" spans="2:25" ht="51" x14ac:dyDescent="0.25">
      <c r="B177" s="2023"/>
      <c r="C177" s="720"/>
      <c r="D177" s="720"/>
      <c r="E177" s="720"/>
      <c r="F177" s="674"/>
      <c r="G177" s="173" t="s">
        <v>169</v>
      </c>
      <c r="H177" s="173" t="s">
        <v>169</v>
      </c>
      <c r="I177" s="1473" t="s">
        <v>79</v>
      </c>
      <c r="J177" s="1246">
        <v>3</v>
      </c>
      <c r="K177" s="1246">
        <v>3</v>
      </c>
      <c r="L177" s="1247">
        <v>116650</v>
      </c>
      <c r="M177" s="863">
        <v>3</v>
      </c>
      <c r="N177" s="1480">
        <v>128315</v>
      </c>
      <c r="O177" s="863">
        <v>3</v>
      </c>
      <c r="P177" s="1480">
        <v>141147</v>
      </c>
      <c r="Q177" s="863">
        <v>3</v>
      </c>
      <c r="R177" s="1480">
        <v>155262</v>
      </c>
      <c r="S177" s="863">
        <v>3</v>
      </c>
      <c r="T177" s="1480">
        <v>170787</v>
      </c>
      <c r="U177" s="863">
        <v>3</v>
      </c>
      <c r="V177" s="1480">
        <v>187866</v>
      </c>
      <c r="W177" s="1196"/>
      <c r="X177" s="173"/>
      <c r="Y177" s="1257" t="s">
        <v>1156</v>
      </c>
    </row>
    <row r="178" spans="2:25" ht="63.75" x14ac:dyDescent="0.25">
      <c r="B178" s="2023"/>
      <c r="C178" s="720"/>
      <c r="D178" s="720"/>
      <c r="E178" s="720"/>
      <c r="F178" s="674"/>
      <c r="G178" s="173" t="s">
        <v>1290</v>
      </c>
      <c r="H178" s="173" t="s">
        <v>1290</v>
      </c>
      <c r="I178" s="1473" t="s">
        <v>79</v>
      </c>
      <c r="J178" s="1246">
        <v>1</v>
      </c>
      <c r="K178" s="1246">
        <v>1</v>
      </c>
      <c r="L178" s="1247">
        <v>87000</v>
      </c>
      <c r="M178" s="168">
        <v>1</v>
      </c>
      <c r="N178" s="1247">
        <v>95700</v>
      </c>
      <c r="O178" s="168">
        <v>1</v>
      </c>
      <c r="P178" s="1247">
        <v>105270</v>
      </c>
      <c r="Q178" s="168">
        <v>1</v>
      </c>
      <c r="R178" s="1247">
        <v>115797</v>
      </c>
      <c r="S178" s="168">
        <v>1</v>
      </c>
      <c r="T178" s="1247">
        <v>127377</v>
      </c>
      <c r="U178" s="168">
        <v>1</v>
      </c>
      <c r="V178" s="1247">
        <v>140114</v>
      </c>
      <c r="W178" s="163"/>
      <c r="X178" s="173"/>
      <c r="Y178" s="1257" t="s">
        <v>1156</v>
      </c>
    </row>
    <row r="179" spans="2:25" ht="51" x14ac:dyDescent="0.25">
      <c r="B179" s="2023"/>
      <c r="C179" s="720"/>
      <c r="D179" s="720"/>
      <c r="E179" s="720"/>
      <c r="F179" s="674"/>
      <c r="G179" s="173" t="s">
        <v>1291</v>
      </c>
      <c r="H179" s="173" t="s">
        <v>1291</v>
      </c>
      <c r="I179" s="1473" t="s">
        <v>282</v>
      </c>
      <c r="J179" s="1246">
        <v>2</v>
      </c>
      <c r="K179" s="1247">
        <v>0</v>
      </c>
      <c r="L179" s="1247">
        <v>0</v>
      </c>
      <c r="M179" s="168">
        <v>3</v>
      </c>
      <c r="N179" s="1247">
        <v>75000</v>
      </c>
      <c r="O179" s="168">
        <v>3</v>
      </c>
      <c r="P179" s="1247">
        <v>75000</v>
      </c>
      <c r="Q179" s="168">
        <v>3</v>
      </c>
      <c r="R179" s="1247">
        <v>75000</v>
      </c>
      <c r="S179" s="168">
        <v>3</v>
      </c>
      <c r="T179" s="1247">
        <v>75000</v>
      </c>
      <c r="U179" s="168">
        <v>3</v>
      </c>
      <c r="V179" s="1247">
        <v>76000</v>
      </c>
      <c r="W179" s="163"/>
      <c r="X179" s="863">
        <v>18</v>
      </c>
      <c r="Y179" s="1257" t="s">
        <v>1156</v>
      </c>
    </row>
    <row r="180" spans="2:25" ht="89.25" x14ac:dyDescent="0.25">
      <c r="B180" s="2023"/>
      <c r="C180" s="720"/>
      <c r="D180" s="720"/>
      <c r="E180" s="720"/>
      <c r="F180" s="674"/>
      <c r="G180" s="173" t="s">
        <v>77</v>
      </c>
      <c r="H180" s="1476" t="s">
        <v>3112</v>
      </c>
      <c r="I180" s="1473" t="s">
        <v>79</v>
      </c>
      <c r="J180" s="1246">
        <v>4</v>
      </c>
      <c r="K180" s="1247">
        <v>4</v>
      </c>
      <c r="L180" s="1247">
        <f>SUM(L181:L182)</f>
        <v>200000</v>
      </c>
      <c r="M180" s="168">
        <v>6</v>
      </c>
      <c r="N180" s="1247">
        <f>SUM(N181:N182)</f>
        <v>345000</v>
      </c>
      <c r="O180" s="168">
        <v>5</v>
      </c>
      <c r="P180" s="1247">
        <f>SUM(P181:P182)</f>
        <v>450000</v>
      </c>
      <c r="Q180" s="168">
        <v>5</v>
      </c>
      <c r="R180" s="1247">
        <f>SUM(R181:R182)</f>
        <v>350000</v>
      </c>
      <c r="S180" s="168">
        <v>5</v>
      </c>
      <c r="T180" s="1247">
        <f>SUM(T181:T182)</f>
        <v>350000</v>
      </c>
      <c r="U180" s="168">
        <v>6</v>
      </c>
      <c r="V180" s="1247">
        <f>SUM(V181:V182)</f>
        <v>350000</v>
      </c>
      <c r="W180" s="163">
        <f>K180+M180+O180+Q180+S180+U180</f>
        <v>31</v>
      </c>
      <c r="X180" s="173"/>
      <c r="Y180" s="1257" t="s">
        <v>1156</v>
      </c>
    </row>
    <row r="181" spans="2:25" ht="63.75" x14ac:dyDescent="0.25">
      <c r="B181" s="2023"/>
      <c r="C181" s="720"/>
      <c r="D181" s="720"/>
      <c r="E181" s="720"/>
      <c r="F181" s="674"/>
      <c r="G181" s="173" t="s">
        <v>1292</v>
      </c>
      <c r="H181" s="173" t="s">
        <v>1292</v>
      </c>
      <c r="I181" s="1473" t="s">
        <v>282</v>
      </c>
      <c r="J181" s="1245"/>
      <c r="K181" s="1254">
        <v>0</v>
      </c>
      <c r="L181" s="1247">
        <v>0</v>
      </c>
      <c r="M181" s="168">
        <v>1</v>
      </c>
      <c r="N181" s="1247">
        <v>125000</v>
      </c>
      <c r="O181" s="168">
        <v>1</v>
      </c>
      <c r="P181" s="1247">
        <v>250000</v>
      </c>
      <c r="Q181" s="168">
        <v>1</v>
      </c>
      <c r="R181" s="1247">
        <v>250000</v>
      </c>
      <c r="S181" s="168">
        <v>1</v>
      </c>
      <c r="T181" s="1247">
        <v>250000</v>
      </c>
      <c r="U181" s="168">
        <v>1</v>
      </c>
      <c r="V181" s="1247">
        <v>250000</v>
      </c>
      <c r="W181" s="163"/>
      <c r="X181" s="173"/>
      <c r="Y181" s="1257" t="s">
        <v>1156</v>
      </c>
    </row>
    <row r="182" spans="2:25" ht="38.25" x14ac:dyDescent="0.25">
      <c r="B182" s="2023"/>
      <c r="C182" s="720"/>
      <c r="D182" s="720"/>
      <c r="E182" s="720"/>
      <c r="F182" s="674"/>
      <c r="G182" s="173" t="s">
        <v>1293</v>
      </c>
      <c r="H182" s="173" t="s">
        <v>1293</v>
      </c>
      <c r="I182" s="1473" t="s">
        <v>275</v>
      </c>
      <c r="J182" s="1245"/>
      <c r="K182" s="1258">
        <v>1</v>
      </c>
      <c r="L182" s="1247">
        <v>200000</v>
      </c>
      <c r="M182" s="168">
        <v>1</v>
      </c>
      <c r="N182" s="1247">
        <v>220000</v>
      </c>
      <c r="O182" s="168">
        <v>1</v>
      </c>
      <c r="P182" s="1247">
        <v>200000</v>
      </c>
      <c r="Q182" s="168">
        <v>1</v>
      </c>
      <c r="R182" s="1247">
        <v>100000</v>
      </c>
      <c r="S182" s="163">
        <v>1</v>
      </c>
      <c r="T182" s="1247">
        <v>100000</v>
      </c>
      <c r="U182" s="163">
        <v>1</v>
      </c>
      <c r="V182" s="1247">
        <v>100000</v>
      </c>
      <c r="W182" s="163"/>
      <c r="X182" s="173"/>
      <c r="Y182" s="1257" t="s">
        <v>1156</v>
      </c>
    </row>
    <row r="183" spans="2:25" ht="63.75" x14ac:dyDescent="0.25">
      <c r="B183" s="2023"/>
      <c r="C183" s="740"/>
      <c r="D183" s="740"/>
      <c r="E183" s="740"/>
      <c r="F183" s="674"/>
      <c r="G183" s="173" t="s">
        <v>195</v>
      </c>
      <c r="H183" s="1476" t="s">
        <v>3130</v>
      </c>
      <c r="I183" s="1473" t="s">
        <v>19</v>
      </c>
      <c r="J183" s="1246">
        <v>90</v>
      </c>
      <c r="K183" s="1246">
        <v>100</v>
      </c>
      <c r="L183" s="1247">
        <f>L184</f>
        <v>260000</v>
      </c>
      <c r="M183" s="163">
        <v>100</v>
      </c>
      <c r="N183" s="1247">
        <f>N184</f>
        <v>286000</v>
      </c>
      <c r="O183" s="163">
        <v>100</v>
      </c>
      <c r="P183" s="1247">
        <f>P184</f>
        <v>500000</v>
      </c>
      <c r="Q183" s="163">
        <v>100</v>
      </c>
      <c r="R183" s="1247">
        <f>R184</f>
        <v>500000</v>
      </c>
      <c r="S183" s="163">
        <v>100</v>
      </c>
      <c r="T183" s="1247">
        <f>T184</f>
        <v>500000</v>
      </c>
      <c r="U183" s="163">
        <v>100</v>
      </c>
      <c r="V183" s="1247">
        <f>V184</f>
        <v>500000</v>
      </c>
      <c r="W183" s="168">
        <f>U183</f>
        <v>100</v>
      </c>
      <c r="X183" s="173"/>
      <c r="Y183" s="1257" t="s">
        <v>1156</v>
      </c>
    </row>
    <row r="184" spans="2:25" ht="63.75" x14ac:dyDescent="0.25">
      <c r="B184" s="2023"/>
      <c r="C184" s="740"/>
      <c r="D184" s="740"/>
      <c r="E184" s="740"/>
      <c r="F184" s="674"/>
      <c r="G184" s="173" t="s">
        <v>1281</v>
      </c>
      <c r="H184" s="173" t="s">
        <v>1282</v>
      </c>
      <c r="I184" s="1473" t="s">
        <v>100</v>
      </c>
      <c r="J184" s="1246">
        <v>80</v>
      </c>
      <c r="K184" s="1246">
        <v>80</v>
      </c>
      <c r="L184" s="1247">
        <v>260000</v>
      </c>
      <c r="M184" s="168">
        <v>80</v>
      </c>
      <c r="N184" s="1247">
        <v>286000</v>
      </c>
      <c r="O184" s="168">
        <v>80</v>
      </c>
      <c r="P184" s="1247">
        <v>500000</v>
      </c>
      <c r="Q184" s="168">
        <v>80</v>
      </c>
      <c r="R184" s="1247">
        <v>500000</v>
      </c>
      <c r="S184" s="168">
        <v>80</v>
      </c>
      <c r="T184" s="1247">
        <v>500000</v>
      </c>
      <c r="U184" s="168">
        <v>80</v>
      </c>
      <c r="V184" s="1247">
        <v>500000</v>
      </c>
      <c r="W184" s="168">
        <f>U184</f>
        <v>80</v>
      </c>
      <c r="X184" s="173"/>
      <c r="Y184" s="1257" t="s">
        <v>1156</v>
      </c>
    </row>
    <row r="185" spans="2:25" ht="38.25" x14ac:dyDescent="0.25">
      <c r="B185" s="2023"/>
      <c r="C185" s="740"/>
      <c r="D185" s="740"/>
      <c r="E185" s="740"/>
      <c r="F185" s="674"/>
      <c r="G185" s="173" t="s">
        <v>612</v>
      </c>
      <c r="H185" s="1476" t="s">
        <v>3216</v>
      </c>
      <c r="I185" s="1473" t="s">
        <v>100</v>
      </c>
      <c r="J185" s="1246">
        <v>80</v>
      </c>
      <c r="K185" s="1245">
        <v>75</v>
      </c>
      <c r="L185" s="1247">
        <f>SUM(L186)</f>
        <v>70000</v>
      </c>
      <c r="M185" s="163">
        <v>80</v>
      </c>
      <c r="N185" s="1247">
        <f>SUM(N186)</f>
        <v>120000</v>
      </c>
      <c r="O185" s="163">
        <v>95</v>
      </c>
      <c r="P185" s="1247">
        <f>SUM(P186)</f>
        <v>132000</v>
      </c>
      <c r="Q185" s="163">
        <v>95</v>
      </c>
      <c r="R185" s="1247">
        <f>SUM(R186)</f>
        <v>145000</v>
      </c>
      <c r="S185" s="163">
        <v>100</v>
      </c>
      <c r="T185" s="1247">
        <f>SUM(T186)</f>
        <v>160000</v>
      </c>
      <c r="U185" s="163">
        <v>100</v>
      </c>
      <c r="V185" s="1247">
        <f>SUM(V186)</f>
        <v>175692</v>
      </c>
      <c r="W185" s="168">
        <f>K185+M185+O185+Q185+S185</f>
        <v>445</v>
      </c>
      <c r="X185" s="173"/>
      <c r="Y185" s="1257" t="s">
        <v>1156</v>
      </c>
    </row>
    <row r="186" spans="2:25" ht="102" x14ac:dyDescent="0.25">
      <c r="B186" s="2024"/>
      <c r="C186" s="746"/>
      <c r="D186" s="746"/>
      <c r="E186" s="746"/>
      <c r="F186" s="675"/>
      <c r="G186" s="173" t="s">
        <v>489</v>
      </c>
      <c r="H186" s="173" t="s">
        <v>1283</v>
      </c>
      <c r="I186" s="1473" t="s">
        <v>427</v>
      </c>
      <c r="J186" s="1246">
        <v>80</v>
      </c>
      <c r="K186" s="1246">
        <v>75</v>
      </c>
      <c r="L186" s="1247">
        <v>70000</v>
      </c>
      <c r="M186" s="168">
        <v>80</v>
      </c>
      <c r="N186" s="1247">
        <v>120000</v>
      </c>
      <c r="O186" s="168">
        <v>95</v>
      </c>
      <c r="P186" s="1247">
        <v>132000</v>
      </c>
      <c r="Q186" s="168">
        <v>95</v>
      </c>
      <c r="R186" s="1247">
        <v>145000</v>
      </c>
      <c r="S186" s="168">
        <v>100</v>
      </c>
      <c r="T186" s="1247">
        <v>160000</v>
      </c>
      <c r="U186" s="168">
        <v>100</v>
      </c>
      <c r="V186" s="1247">
        <v>175692</v>
      </c>
      <c r="W186" s="168">
        <f>K186+M186+O186+Q186+S186</f>
        <v>445</v>
      </c>
      <c r="X186" s="173"/>
      <c r="Y186" s="1257" t="s">
        <v>1156</v>
      </c>
    </row>
    <row r="187" spans="2:25" ht="25.5" x14ac:dyDescent="0.25">
      <c r="B187" s="940" t="s">
        <v>30</v>
      </c>
      <c r="C187" s="173"/>
      <c r="D187" s="173"/>
      <c r="E187" s="173"/>
      <c r="F187" s="173"/>
      <c r="G187" s="1476"/>
      <c r="H187" s="1473"/>
      <c r="I187" s="1473"/>
      <c r="J187" s="1245"/>
      <c r="K187" s="1245"/>
      <c r="L187" s="1247">
        <f>SUM(L11:L186)/2</f>
        <v>74488375.5</v>
      </c>
      <c r="M187" s="163"/>
      <c r="N187" s="1247">
        <f>SUM(N11:N186)/2</f>
        <v>87184691.25</v>
      </c>
      <c r="O187" s="163"/>
      <c r="P187" s="1247">
        <f>SUM(P11:P186)/2</f>
        <v>84759687.474999979</v>
      </c>
      <c r="Q187" s="163"/>
      <c r="R187" s="1247">
        <f>SUM(R11:R186)/2</f>
        <v>96808533.362499997</v>
      </c>
      <c r="S187" s="163"/>
      <c r="T187" s="1247">
        <f>SUM(T11:T186)/2</f>
        <v>90517623.098749995</v>
      </c>
      <c r="U187" s="163"/>
      <c r="V187" s="1247">
        <f>SUM(V11:V186)/2</f>
        <v>92119670.123624951</v>
      </c>
      <c r="W187" s="163"/>
      <c r="X187" s="173"/>
      <c r="Y187" s="1259"/>
    </row>
    <row r="188" spans="2:25" x14ac:dyDescent="0.25">
      <c r="B188" s="940"/>
      <c r="C188" s="173"/>
      <c r="D188" s="173"/>
      <c r="E188" s="173"/>
      <c r="F188" s="173"/>
      <c r="G188" s="1476"/>
      <c r="H188" s="1473"/>
      <c r="I188" s="1473"/>
      <c r="J188" s="1245"/>
      <c r="K188" s="1260"/>
      <c r="L188" s="1247"/>
      <c r="M188" s="1261"/>
      <c r="N188" s="1247"/>
      <c r="O188" s="1261"/>
      <c r="P188" s="1247"/>
      <c r="Q188" s="1261"/>
      <c r="R188" s="1247"/>
      <c r="S188" s="1261"/>
      <c r="T188" s="1247"/>
      <c r="U188" s="1261"/>
      <c r="V188" s="1247"/>
      <c r="W188" s="1261"/>
      <c r="X188" s="173"/>
      <c r="Y188" s="1259"/>
    </row>
    <row r="189" spans="2:25" ht="13.5" thickBot="1" x14ac:dyDescent="0.3">
      <c r="B189" s="940" t="s">
        <v>1148</v>
      </c>
      <c r="C189" s="173"/>
      <c r="D189" s="173"/>
      <c r="E189" s="173"/>
      <c r="F189" s="173"/>
      <c r="G189" s="1476"/>
      <c r="H189" s="1473"/>
      <c r="I189" s="1473"/>
      <c r="J189" s="1245"/>
      <c r="K189" s="1260"/>
      <c r="L189" s="1247"/>
      <c r="M189" s="1261"/>
      <c r="N189" s="1247"/>
      <c r="O189" s="1261"/>
      <c r="P189" s="1247"/>
      <c r="Q189" s="1261"/>
      <c r="R189" s="1247"/>
      <c r="S189" s="1261"/>
      <c r="T189" s="1247"/>
      <c r="U189" s="1261"/>
      <c r="V189" s="1247"/>
      <c r="W189" s="1261"/>
      <c r="X189" s="173"/>
      <c r="Y189" s="1259"/>
    </row>
    <row r="190" spans="2:25" ht="115.5" thickTop="1" x14ac:dyDescent="0.25">
      <c r="B190" s="2045" t="s">
        <v>494</v>
      </c>
      <c r="C190" s="2040" t="s">
        <v>752</v>
      </c>
      <c r="D190" s="2040" t="s">
        <v>576</v>
      </c>
      <c r="E190" s="2040" t="s">
        <v>577</v>
      </c>
      <c r="F190" s="2040" t="s">
        <v>3127</v>
      </c>
      <c r="G190" s="2040" t="s">
        <v>3128</v>
      </c>
      <c r="H190" s="2040" t="s">
        <v>966</v>
      </c>
      <c r="I190" s="1472" t="s">
        <v>421</v>
      </c>
      <c r="J190" s="1518" t="s">
        <v>967</v>
      </c>
      <c r="K190" s="2053" t="s">
        <v>7</v>
      </c>
      <c r="L190" s="2054"/>
      <c r="M190" s="2054"/>
      <c r="N190" s="2054"/>
      <c r="O190" s="2054"/>
      <c r="P190" s="2054"/>
      <c r="Q190" s="2054"/>
      <c r="R190" s="2054"/>
      <c r="S190" s="2054"/>
      <c r="T190" s="2054"/>
      <c r="U190" s="2054"/>
      <c r="V190" s="2054"/>
      <c r="W190" s="2054"/>
      <c r="X190" s="2040" t="s">
        <v>653</v>
      </c>
      <c r="Y190" s="2049" t="s">
        <v>1147</v>
      </c>
    </row>
    <row r="191" spans="2:25" x14ac:dyDescent="0.25">
      <c r="B191" s="2046"/>
      <c r="C191" s="2041"/>
      <c r="D191" s="2041"/>
      <c r="E191" s="2041"/>
      <c r="F191" s="2041"/>
      <c r="G191" s="2041"/>
      <c r="H191" s="2041"/>
      <c r="I191" s="1473"/>
      <c r="J191" s="1263"/>
      <c r="K191" s="2051" t="s">
        <v>114</v>
      </c>
      <c r="L191" s="2038"/>
      <c r="M191" s="2051" t="s">
        <v>115</v>
      </c>
      <c r="N191" s="2038"/>
      <c r="O191" s="2051" t="s">
        <v>116</v>
      </c>
      <c r="P191" s="2038"/>
      <c r="Q191" s="2051" t="s">
        <v>117</v>
      </c>
      <c r="R191" s="2038"/>
      <c r="S191" s="2051" t="s">
        <v>118</v>
      </c>
      <c r="T191" s="2038"/>
      <c r="U191" s="2051" t="s">
        <v>119</v>
      </c>
      <c r="V191" s="2038"/>
      <c r="W191" s="2052" t="s">
        <v>968</v>
      </c>
      <c r="X191" s="2041"/>
      <c r="Y191" s="2050"/>
    </row>
    <row r="192" spans="2:25" x14ac:dyDescent="0.25">
      <c r="B192" s="2046"/>
      <c r="C192" s="2041"/>
      <c r="D192" s="2041"/>
      <c r="E192" s="2041"/>
      <c r="F192" s="2041"/>
      <c r="G192" s="2041"/>
      <c r="H192" s="2041"/>
      <c r="I192" s="1473"/>
      <c r="J192" s="1263"/>
      <c r="K192" s="1263" t="s">
        <v>9</v>
      </c>
      <c r="L192" s="1503" t="s">
        <v>3107</v>
      </c>
      <c r="M192" s="1263" t="s">
        <v>9</v>
      </c>
      <c r="N192" s="1503" t="s">
        <v>1355</v>
      </c>
      <c r="O192" s="1263" t="s">
        <v>9</v>
      </c>
      <c r="P192" s="1503" t="s">
        <v>1355</v>
      </c>
      <c r="Q192" s="1263" t="s">
        <v>9</v>
      </c>
      <c r="R192" s="1503" t="s">
        <v>1355</v>
      </c>
      <c r="S192" s="1263" t="s">
        <v>9</v>
      </c>
      <c r="T192" s="1503" t="s">
        <v>1355</v>
      </c>
      <c r="U192" s="1263" t="s">
        <v>9</v>
      </c>
      <c r="V192" s="1503" t="s">
        <v>1355</v>
      </c>
      <c r="W192" s="2052"/>
      <c r="X192" s="2041"/>
      <c r="Y192" s="2050"/>
    </row>
    <row r="193" spans="2:25" s="1239" customFormat="1" x14ac:dyDescent="0.25">
      <c r="B193" s="1504" t="s">
        <v>586</v>
      </c>
      <c r="C193" s="1448" t="s">
        <v>585</v>
      </c>
      <c r="D193" s="1448" t="s">
        <v>654</v>
      </c>
      <c r="E193" s="1448" t="s">
        <v>655</v>
      </c>
      <c r="F193" s="1505" t="s">
        <v>32</v>
      </c>
      <c r="G193" s="933">
        <v>6</v>
      </c>
      <c r="H193" s="1505">
        <v>7</v>
      </c>
      <c r="I193" s="1445" t="s">
        <v>3065</v>
      </c>
      <c r="J193" s="1269" t="s">
        <v>3066</v>
      </c>
      <c r="K193" s="1269" t="s">
        <v>3067</v>
      </c>
      <c r="L193" s="1506" t="s">
        <v>3068</v>
      </c>
      <c r="M193" s="1269" t="s">
        <v>3069</v>
      </c>
      <c r="N193" s="1506">
        <v>13</v>
      </c>
      <c r="O193" s="1269">
        <v>14</v>
      </c>
      <c r="P193" s="1506">
        <v>15</v>
      </c>
      <c r="Q193" s="1269">
        <v>16</v>
      </c>
      <c r="R193" s="1506">
        <v>17</v>
      </c>
      <c r="S193" s="1269">
        <v>18</v>
      </c>
      <c r="T193" s="1506">
        <v>19</v>
      </c>
      <c r="U193" s="1269">
        <v>20</v>
      </c>
      <c r="V193" s="1506">
        <v>21</v>
      </c>
      <c r="W193" s="1269">
        <v>22</v>
      </c>
      <c r="X193" s="1445">
        <v>23</v>
      </c>
      <c r="Y193" s="1507">
        <v>24</v>
      </c>
    </row>
    <row r="194" spans="2:25" s="1239" customFormat="1" ht="38.25" customHeight="1" x14ac:dyDescent="0.25">
      <c r="B194" s="2011" t="s">
        <v>3841</v>
      </c>
      <c r="C194" s="2013" t="s">
        <v>10</v>
      </c>
      <c r="D194" s="2013" t="s">
        <v>3823</v>
      </c>
      <c r="E194" s="2013" t="s">
        <v>3825</v>
      </c>
      <c r="F194" s="2013" t="s">
        <v>3824</v>
      </c>
      <c r="G194" s="1473" t="s">
        <v>3886</v>
      </c>
      <c r="H194" s="1505"/>
      <c r="I194" s="1473" t="s">
        <v>19</v>
      </c>
      <c r="J194" s="163">
        <v>31.75</v>
      </c>
      <c r="K194" s="163">
        <v>52</v>
      </c>
      <c r="L194" s="168"/>
      <c r="M194" s="163">
        <v>54.5</v>
      </c>
      <c r="N194" s="168"/>
      <c r="O194" s="163">
        <v>77.25</v>
      </c>
      <c r="P194" s="168"/>
      <c r="Q194" s="163">
        <v>100</v>
      </c>
      <c r="R194" s="168"/>
      <c r="S194" s="163">
        <v>100</v>
      </c>
      <c r="T194" s="168"/>
      <c r="U194" s="163">
        <v>100</v>
      </c>
      <c r="V194" s="168"/>
      <c r="W194" s="163">
        <f>S194</f>
        <v>100</v>
      </c>
      <c r="X194" s="1267"/>
      <c r="Y194" s="1257" t="s">
        <v>1148</v>
      </c>
    </row>
    <row r="195" spans="2:25" ht="63.75" x14ac:dyDescent="0.25">
      <c r="B195" s="2012"/>
      <c r="C195" s="2014"/>
      <c r="D195" s="2014"/>
      <c r="E195" s="2014"/>
      <c r="F195" s="2014"/>
      <c r="G195" s="1476" t="s">
        <v>998</v>
      </c>
      <c r="H195" s="673" t="s">
        <v>3824</v>
      </c>
      <c r="I195" s="1473" t="s">
        <v>19</v>
      </c>
      <c r="J195" s="163">
        <v>31.75</v>
      </c>
      <c r="K195" s="163">
        <v>52</v>
      </c>
      <c r="L195" s="168">
        <f>L196</f>
        <v>7400000</v>
      </c>
      <c r="M195" s="163">
        <v>54.5</v>
      </c>
      <c r="N195" s="168">
        <f>N196</f>
        <v>14250000</v>
      </c>
      <c r="O195" s="163">
        <v>77.25</v>
      </c>
      <c r="P195" s="168">
        <f>P196</f>
        <v>21100000</v>
      </c>
      <c r="Q195" s="163">
        <v>100</v>
      </c>
      <c r="R195" s="168">
        <f>R196</f>
        <v>27935000</v>
      </c>
      <c r="S195" s="163">
        <v>100</v>
      </c>
      <c r="T195" s="168">
        <f>T196</f>
        <v>31353000</v>
      </c>
      <c r="U195" s="163">
        <v>100</v>
      </c>
      <c r="V195" s="168">
        <f>V196</f>
        <v>31353000</v>
      </c>
      <c r="W195" s="163">
        <f>S195</f>
        <v>100</v>
      </c>
      <c r="X195" s="1267"/>
      <c r="Y195" s="1257" t="s">
        <v>1148</v>
      </c>
    </row>
    <row r="196" spans="2:25" ht="51" x14ac:dyDescent="0.25">
      <c r="B196" s="2012"/>
      <c r="C196" s="2014"/>
      <c r="D196" s="2044"/>
      <c r="E196" s="2044"/>
      <c r="F196" s="675"/>
      <c r="G196" s="1479" t="s">
        <v>999</v>
      </c>
      <c r="H196" s="173" t="s">
        <v>1000</v>
      </c>
      <c r="I196" s="1473" t="s">
        <v>100</v>
      </c>
      <c r="J196" s="168">
        <v>837750</v>
      </c>
      <c r="K196" s="168">
        <v>837750</v>
      </c>
      <c r="L196" s="168">
        <v>7400000</v>
      </c>
      <c r="M196" s="168">
        <v>912750</v>
      </c>
      <c r="N196" s="168">
        <v>14250000</v>
      </c>
      <c r="O196" s="168">
        <v>912750</v>
      </c>
      <c r="P196" s="168">
        <v>21100000</v>
      </c>
      <c r="Q196" s="1615" t="s">
        <v>3868</v>
      </c>
      <c r="R196" s="168">
        <v>27935000</v>
      </c>
      <c r="S196" s="1615" t="s">
        <v>3868</v>
      </c>
      <c r="T196" s="168">
        <v>31353000</v>
      </c>
      <c r="U196" s="1615" t="s">
        <v>3868</v>
      </c>
      <c r="V196" s="168">
        <v>31353000</v>
      </c>
      <c r="W196" s="168"/>
      <c r="X196" s="1262"/>
      <c r="Y196" s="1257" t="s">
        <v>1148</v>
      </c>
    </row>
    <row r="197" spans="2:25" x14ac:dyDescent="0.25">
      <c r="B197" s="2012"/>
      <c r="C197" s="674"/>
      <c r="D197" s="1478"/>
      <c r="E197" s="1478"/>
      <c r="F197" s="674"/>
      <c r="G197" s="1478"/>
      <c r="H197" s="173"/>
      <c r="I197" s="1473"/>
      <c r="J197" s="168"/>
      <c r="K197" s="168"/>
      <c r="L197" s="168"/>
      <c r="M197" s="168"/>
      <c r="N197" s="168"/>
      <c r="O197" s="168"/>
      <c r="P197" s="168"/>
      <c r="Q197" s="1615"/>
      <c r="R197" s="168"/>
      <c r="S197" s="1615"/>
      <c r="T197" s="168"/>
      <c r="U197" s="1615"/>
      <c r="V197" s="168"/>
      <c r="W197" s="168"/>
      <c r="X197" s="1262"/>
      <c r="Y197" s="1257"/>
    </row>
    <row r="198" spans="2:25" ht="89.25" x14ac:dyDescent="0.25">
      <c r="B198" s="2012"/>
      <c r="C198" s="674"/>
      <c r="D198" s="173" t="s">
        <v>3873</v>
      </c>
      <c r="E198" s="173" t="s">
        <v>3874</v>
      </c>
      <c r="F198" s="173" t="s">
        <v>11</v>
      </c>
      <c r="G198" s="1519" t="s">
        <v>3123</v>
      </c>
      <c r="H198" s="173"/>
      <c r="I198" s="1448" t="s">
        <v>3124</v>
      </c>
      <c r="J198" s="1245">
        <v>76</v>
      </c>
      <c r="K198" s="1245">
        <v>78</v>
      </c>
      <c r="L198" s="168"/>
      <c r="M198" s="163">
        <v>80</v>
      </c>
      <c r="N198" s="168"/>
      <c r="O198" s="163">
        <v>81</v>
      </c>
      <c r="P198" s="168"/>
      <c r="Q198" s="163">
        <v>82</v>
      </c>
      <c r="R198" s="168"/>
      <c r="S198" s="163">
        <v>83</v>
      </c>
      <c r="T198" s="168"/>
      <c r="U198" s="163">
        <v>84</v>
      </c>
      <c r="V198" s="168"/>
      <c r="W198" s="163">
        <f>U198</f>
        <v>84</v>
      </c>
      <c r="X198" s="173"/>
      <c r="Y198" s="1257" t="s">
        <v>1148</v>
      </c>
    </row>
    <row r="199" spans="2:25" ht="51" x14ac:dyDescent="0.25">
      <c r="B199" s="2012"/>
      <c r="C199" s="674"/>
      <c r="D199" s="674"/>
      <c r="E199" s="674"/>
      <c r="F199" s="173" t="s">
        <v>1133</v>
      </c>
      <c r="G199" s="1473" t="s">
        <v>3884</v>
      </c>
      <c r="H199" s="1476"/>
      <c r="I199" s="1473" t="s">
        <v>19</v>
      </c>
      <c r="J199" s="1245">
        <v>90</v>
      </c>
      <c r="K199" s="1245">
        <v>95</v>
      </c>
      <c r="L199" s="885"/>
      <c r="M199" s="1246">
        <v>96</v>
      </c>
      <c r="N199" s="885"/>
      <c r="O199" s="163">
        <v>97</v>
      </c>
      <c r="P199" s="885"/>
      <c r="Q199" s="1246">
        <v>98</v>
      </c>
      <c r="R199" s="1246"/>
      <c r="S199" s="163">
        <v>98</v>
      </c>
      <c r="T199" s="1246"/>
      <c r="U199" s="1246">
        <v>98</v>
      </c>
      <c r="V199" s="1246"/>
      <c r="W199" s="1246">
        <v>98</v>
      </c>
      <c r="X199" s="173"/>
      <c r="Y199" s="1257" t="s">
        <v>1148</v>
      </c>
    </row>
    <row r="200" spans="2:25" ht="38.25" x14ac:dyDescent="0.25">
      <c r="B200" s="2012"/>
      <c r="C200" s="674"/>
      <c r="D200" s="674"/>
      <c r="E200" s="674"/>
      <c r="F200" s="673"/>
      <c r="G200" s="1519" t="s">
        <v>1132</v>
      </c>
      <c r="H200" s="173" t="s">
        <v>1133</v>
      </c>
      <c r="I200" s="1473" t="s">
        <v>19</v>
      </c>
      <c r="J200" s="163">
        <v>100</v>
      </c>
      <c r="K200" s="163">
        <v>100</v>
      </c>
      <c r="L200" s="1246">
        <f>SUM(L201:L208)</f>
        <v>1907000</v>
      </c>
      <c r="M200" s="163">
        <v>100</v>
      </c>
      <c r="N200" s="1246">
        <f>SUM(N201:N208)</f>
        <v>2035000</v>
      </c>
      <c r="O200" s="163">
        <v>100</v>
      </c>
      <c r="P200" s="1246">
        <f>SUM(P201:P208)</f>
        <v>2070000</v>
      </c>
      <c r="Q200" s="163">
        <v>100</v>
      </c>
      <c r="R200" s="1246">
        <f>SUM(R201:R208)</f>
        <v>1445000</v>
      </c>
      <c r="S200" s="163">
        <v>100</v>
      </c>
      <c r="T200" s="1246">
        <f>SUM(T201:T208)</f>
        <v>1490000</v>
      </c>
      <c r="U200" s="163">
        <v>100</v>
      </c>
      <c r="V200" s="1246">
        <f>SUM(V201:V208)</f>
        <v>1530000</v>
      </c>
      <c r="W200" s="1261">
        <f>S200</f>
        <v>100</v>
      </c>
      <c r="X200" s="173"/>
      <c r="Y200" s="1257" t="s">
        <v>1148</v>
      </c>
    </row>
    <row r="201" spans="2:25" ht="38.25" x14ac:dyDescent="0.25">
      <c r="B201" s="229"/>
      <c r="C201" s="674"/>
      <c r="D201" s="674"/>
      <c r="E201" s="674"/>
      <c r="F201" s="674"/>
      <c r="G201" s="2019" t="s">
        <v>1134</v>
      </c>
      <c r="H201" s="1487" t="s">
        <v>1135</v>
      </c>
      <c r="I201" s="1268" t="s">
        <v>75</v>
      </c>
      <c r="J201" s="163">
        <v>35</v>
      </c>
      <c r="K201" s="163">
        <v>35</v>
      </c>
      <c r="L201" s="168">
        <v>1665000</v>
      </c>
      <c r="M201" s="163">
        <v>35</v>
      </c>
      <c r="N201" s="168">
        <v>1665000</v>
      </c>
      <c r="O201" s="163">
        <v>35</v>
      </c>
      <c r="P201" s="168">
        <v>1665000</v>
      </c>
      <c r="Q201" s="163">
        <v>35</v>
      </c>
      <c r="R201" s="168">
        <v>1000000</v>
      </c>
      <c r="S201" s="163">
        <v>35</v>
      </c>
      <c r="T201" s="168">
        <v>1000000</v>
      </c>
      <c r="U201" s="163">
        <v>35</v>
      </c>
      <c r="V201" s="168">
        <v>1000000</v>
      </c>
      <c r="W201" s="163"/>
      <c r="X201" s="173"/>
      <c r="Y201" s="1257" t="s">
        <v>1148</v>
      </c>
    </row>
    <row r="202" spans="2:25" ht="38.25" x14ac:dyDescent="0.25">
      <c r="B202" s="229"/>
      <c r="C202" s="674"/>
      <c r="D202" s="674"/>
      <c r="E202" s="674"/>
      <c r="F202" s="674"/>
      <c r="G202" s="2019"/>
      <c r="H202" s="1487" t="s">
        <v>1136</v>
      </c>
      <c r="I202" s="1268" t="s">
        <v>103</v>
      </c>
      <c r="J202" s="163">
        <v>8</v>
      </c>
      <c r="K202" s="163">
        <v>8</v>
      </c>
      <c r="L202" s="168">
        <v>0</v>
      </c>
      <c r="M202" s="163">
        <v>8</v>
      </c>
      <c r="N202" s="168">
        <v>0</v>
      </c>
      <c r="O202" s="163">
        <v>8</v>
      </c>
      <c r="P202" s="168">
        <v>0</v>
      </c>
      <c r="Q202" s="163">
        <v>8</v>
      </c>
      <c r="R202" s="168">
        <v>0</v>
      </c>
      <c r="S202" s="163">
        <v>8</v>
      </c>
      <c r="T202" s="168">
        <v>0</v>
      </c>
      <c r="U202" s="163">
        <v>8</v>
      </c>
      <c r="V202" s="168">
        <v>0</v>
      </c>
      <c r="W202" s="163"/>
      <c r="X202" s="173"/>
      <c r="Y202" s="1257" t="s">
        <v>1148</v>
      </c>
    </row>
    <row r="203" spans="2:25" ht="38.25" x14ac:dyDescent="0.25">
      <c r="B203" s="229"/>
      <c r="C203" s="674"/>
      <c r="D203" s="674"/>
      <c r="E203" s="674"/>
      <c r="F203" s="674"/>
      <c r="G203" s="2062" t="s">
        <v>1137</v>
      </c>
      <c r="H203" s="1487" t="s">
        <v>1138</v>
      </c>
      <c r="I203" s="1268" t="s">
        <v>19</v>
      </c>
      <c r="J203" s="1269">
        <v>100</v>
      </c>
      <c r="K203" s="163">
        <v>100</v>
      </c>
      <c r="L203" s="168">
        <v>125000</v>
      </c>
      <c r="M203" s="163">
        <v>100</v>
      </c>
      <c r="N203" s="168">
        <v>220000</v>
      </c>
      <c r="O203" s="163">
        <v>100</v>
      </c>
      <c r="P203" s="168">
        <v>245000</v>
      </c>
      <c r="Q203" s="163">
        <v>100</v>
      </c>
      <c r="R203" s="168">
        <v>270000</v>
      </c>
      <c r="S203" s="163">
        <v>100</v>
      </c>
      <c r="T203" s="168">
        <v>300000</v>
      </c>
      <c r="U203" s="163">
        <v>100</v>
      </c>
      <c r="V203" s="168">
        <v>330000</v>
      </c>
      <c r="W203" s="163"/>
      <c r="X203" s="173"/>
      <c r="Y203" s="1257" t="s">
        <v>1148</v>
      </c>
    </row>
    <row r="204" spans="2:25" ht="38.25" x14ac:dyDescent="0.25">
      <c r="B204" s="229"/>
      <c r="C204" s="674"/>
      <c r="D204" s="674"/>
      <c r="E204" s="674"/>
      <c r="F204" s="674"/>
      <c r="G204" s="2062"/>
      <c r="H204" s="1487" t="s">
        <v>1139</v>
      </c>
      <c r="I204" s="1268" t="s">
        <v>103</v>
      </c>
      <c r="J204" s="1269">
        <v>12</v>
      </c>
      <c r="K204" s="163">
        <v>12</v>
      </c>
      <c r="L204" s="168">
        <v>0</v>
      </c>
      <c r="M204" s="163">
        <v>12</v>
      </c>
      <c r="N204" s="168">
        <v>0</v>
      </c>
      <c r="O204" s="163">
        <v>12</v>
      </c>
      <c r="P204" s="168">
        <v>0</v>
      </c>
      <c r="Q204" s="163">
        <v>12</v>
      </c>
      <c r="R204" s="168">
        <v>0</v>
      </c>
      <c r="S204" s="163">
        <v>12</v>
      </c>
      <c r="T204" s="168">
        <v>0</v>
      </c>
      <c r="U204" s="163">
        <v>12</v>
      </c>
      <c r="V204" s="168">
        <v>0</v>
      </c>
      <c r="W204" s="163"/>
      <c r="X204" s="173"/>
      <c r="Y204" s="1257" t="s">
        <v>1148</v>
      </c>
    </row>
    <row r="205" spans="2:25" ht="51" x14ac:dyDescent="0.25">
      <c r="B205" s="229"/>
      <c r="C205" s="674"/>
      <c r="D205" s="674"/>
      <c r="E205" s="674"/>
      <c r="F205" s="674"/>
      <c r="G205" s="2062"/>
      <c r="H205" s="1487" t="s">
        <v>1140</v>
      </c>
      <c r="I205" s="1268" t="s">
        <v>103</v>
      </c>
      <c r="J205" s="1269">
        <v>3</v>
      </c>
      <c r="K205" s="1269">
        <v>3</v>
      </c>
      <c r="L205" s="168">
        <v>0</v>
      </c>
      <c r="M205" s="1269">
        <v>3</v>
      </c>
      <c r="N205" s="168">
        <v>0</v>
      </c>
      <c r="O205" s="1269">
        <v>3</v>
      </c>
      <c r="P205" s="168">
        <v>0</v>
      </c>
      <c r="Q205" s="1269">
        <v>3</v>
      </c>
      <c r="R205" s="168">
        <v>0</v>
      </c>
      <c r="S205" s="1269">
        <v>3</v>
      </c>
      <c r="T205" s="168">
        <v>0</v>
      </c>
      <c r="U205" s="1269">
        <v>3</v>
      </c>
      <c r="V205" s="168">
        <v>0</v>
      </c>
      <c r="W205" s="163"/>
      <c r="X205" s="173"/>
      <c r="Y205" s="1257" t="s">
        <v>1148</v>
      </c>
    </row>
    <row r="206" spans="2:25" ht="38.25" x14ac:dyDescent="0.25">
      <c r="B206" s="229"/>
      <c r="C206" s="674"/>
      <c r="D206" s="674"/>
      <c r="E206" s="674"/>
      <c r="F206" s="674"/>
      <c r="G206" s="2062"/>
      <c r="H206" s="1487" t="s">
        <v>1141</v>
      </c>
      <c r="I206" s="1268" t="s">
        <v>1142</v>
      </c>
      <c r="J206" s="1269">
        <v>9</v>
      </c>
      <c r="K206" s="1269">
        <v>9</v>
      </c>
      <c r="L206" s="168">
        <v>0</v>
      </c>
      <c r="M206" s="1269">
        <v>9</v>
      </c>
      <c r="N206" s="168">
        <v>0</v>
      </c>
      <c r="O206" s="1269">
        <v>9</v>
      </c>
      <c r="P206" s="168">
        <v>0</v>
      </c>
      <c r="Q206" s="1269">
        <v>9</v>
      </c>
      <c r="R206" s="168">
        <v>0</v>
      </c>
      <c r="S206" s="1269">
        <v>9</v>
      </c>
      <c r="T206" s="168">
        <v>0</v>
      </c>
      <c r="U206" s="1269">
        <v>9</v>
      </c>
      <c r="V206" s="168">
        <v>0</v>
      </c>
      <c r="W206" s="163"/>
      <c r="X206" s="173"/>
      <c r="Y206" s="1257" t="s">
        <v>1148</v>
      </c>
    </row>
    <row r="207" spans="2:25" ht="38.25" x14ac:dyDescent="0.25">
      <c r="B207" s="229"/>
      <c r="C207" s="674"/>
      <c r="D207" s="674"/>
      <c r="E207" s="674"/>
      <c r="F207" s="674"/>
      <c r="G207" s="2062" t="s">
        <v>1143</v>
      </c>
      <c r="H207" s="1476" t="s">
        <v>1144</v>
      </c>
      <c r="I207" s="1473" t="s">
        <v>79</v>
      </c>
      <c r="J207" s="163">
        <v>2</v>
      </c>
      <c r="K207" s="163">
        <v>2</v>
      </c>
      <c r="L207" s="168">
        <v>117000</v>
      </c>
      <c r="M207" s="163">
        <v>2</v>
      </c>
      <c r="N207" s="168">
        <v>150000</v>
      </c>
      <c r="O207" s="163">
        <v>2</v>
      </c>
      <c r="P207" s="168">
        <v>160000</v>
      </c>
      <c r="Q207" s="163">
        <v>2</v>
      </c>
      <c r="R207" s="168">
        <v>175000</v>
      </c>
      <c r="S207" s="163">
        <v>2</v>
      </c>
      <c r="T207" s="168">
        <v>190000</v>
      </c>
      <c r="U207" s="163">
        <v>2</v>
      </c>
      <c r="V207" s="168">
        <v>200000</v>
      </c>
      <c r="W207" s="163"/>
      <c r="X207" s="1473"/>
      <c r="Y207" s="1257" t="s">
        <v>1148</v>
      </c>
    </row>
    <row r="208" spans="2:25" ht="25.5" x14ac:dyDescent="0.25">
      <c r="B208" s="229"/>
      <c r="C208" s="674"/>
      <c r="D208" s="674"/>
      <c r="E208" s="674"/>
      <c r="F208" s="674"/>
      <c r="G208" s="2062"/>
      <c r="H208" s="1476" t="s">
        <v>1145</v>
      </c>
      <c r="I208" s="1473" t="s">
        <v>75</v>
      </c>
      <c r="J208" s="163">
        <v>8</v>
      </c>
      <c r="K208" s="163">
        <v>10</v>
      </c>
      <c r="L208" s="168">
        <v>0</v>
      </c>
      <c r="M208" s="163">
        <v>15</v>
      </c>
      <c r="N208" s="168">
        <v>0</v>
      </c>
      <c r="O208" s="163">
        <v>20</v>
      </c>
      <c r="P208" s="168">
        <v>0</v>
      </c>
      <c r="Q208" s="163">
        <v>25</v>
      </c>
      <c r="R208" s="168">
        <v>0</v>
      </c>
      <c r="S208" s="163">
        <v>30</v>
      </c>
      <c r="T208" s="168">
        <v>0</v>
      </c>
      <c r="U208" s="163">
        <v>35</v>
      </c>
      <c r="V208" s="168">
        <v>0</v>
      </c>
      <c r="W208" s="163"/>
      <c r="X208" s="1473"/>
      <c r="Y208" s="1257" t="s">
        <v>1148</v>
      </c>
    </row>
    <row r="209" spans="2:25" ht="38.25" x14ac:dyDescent="0.25">
      <c r="B209" s="1481"/>
      <c r="C209" s="674"/>
      <c r="D209" s="674"/>
      <c r="E209" s="674"/>
      <c r="F209" s="674"/>
      <c r="G209" s="673" t="s">
        <v>1001</v>
      </c>
      <c r="H209" s="173" t="s">
        <v>3115</v>
      </c>
      <c r="I209" s="1473" t="s">
        <v>19</v>
      </c>
      <c r="J209" s="163">
        <v>100</v>
      </c>
      <c r="K209" s="163">
        <v>100</v>
      </c>
      <c r="L209" s="168">
        <f>SUM(L210:L217)</f>
        <v>575000</v>
      </c>
      <c r="M209" s="163">
        <v>100</v>
      </c>
      <c r="N209" s="168">
        <f>SUM(N210:N217)</f>
        <v>623000</v>
      </c>
      <c r="O209" s="163">
        <v>100</v>
      </c>
      <c r="P209" s="168">
        <f>SUM(P210:P217)</f>
        <v>710000</v>
      </c>
      <c r="Q209" s="163">
        <v>100</v>
      </c>
      <c r="R209" s="168">
        <f>SUM(R210:R217)</f>
        <v>823000</v>
      </c>
      <c r="S209" s="163">
        <v>100</v>
      </c>
      <c r="T209" s="168">
        <f>SUM(T210:T217)</f>
        <v>949300</v>
      </c>
      <c r="U209" s="163">
        <v>100</v>
      </c>
      <c r="V209" s="168">
        <f>SUM(V210:V217)</f>
        <v>769230</v>
      </c>
      <c r="W209" s="163">
        <v>100</v>
      </c>
      <c r="X209" s="1267"/>
      <c r="Y209" s="1257" t="s">
        <v>1148</v>
      </c>
    </row>
    <row r="210" spans="2:25" ht="51" x14ac:dyDescent="0.25">
      <c r="B210" s="229"/>
      <c r="C210" s="674"/>
      <c r="D210" s="674"/>
      <c r="E210" s="674"/>
      <c r="F210" s="674"/>
      <c r="G210" s="173" t="s">
        <v>1002</v>
      </c>
      <c r="H210" s="1476" t="s">
        <v>1003</v>
      </c>
      <c r="I210" s="1473" t="s">
        <v>19</v>
      </c>
      <c r="J210" s="163">
        <v>1</v>
      </c>
      <c r="K210" s="163">
        <v>1</v>
      </c>
      <c r="L210" s="168">
        <v>130000</v>
      </c>
      <c r="M210" s="163">
        <v>1</v>
      </c>
      <c r="N210" s="168">
        <v>153000</v>
      </c>
      <c r="O210" s="163">
        <v>1</v>
      </c>
      <c r="P210" s="168">
        <v>180000</v>
      </c>
      <c r="Q210" s="163">
        <v>1</v>
      </c>
      <c r="R210" s="168">
        <v>210000</v>
      </c>
      <c r="S210" s="163">
        <v>1</v>
      </c>
      <c r="T210" s="168">
        <v>250000</v>
      </c>
      <c r="U210" s="163">
        <v>1</v>
      </c>
      <c r="V210" s="168">
        <v>0</v>
      </c>
      <c r="W210" s="163"/>
      <c r="X210" s="1473"/>
      <c r="Y210" s="1257" t="s">
        <v>1148</v>
      </c>
    </row>
    <row r="211" spans="2:25" ht="51" x14ac:dyDescent="0.25">
      <c r="B211" s="229"/>
      <c r="C211" s="674"/>
      <c r="D211" s="674"/>
      <c r="E211" s="674"/>
      <c r="F211" s="674"/>
      <c r="G211" s="173" t="s">
        <v>1004</v>
      </c>
      <c r="H211" s="891" t="s">
        <v>1005</v>
      </c>
      <c r="I211" s="1473" t="s">
        <v>1006</v>
      </c>
      <c r="J211" s="163" t="s">
        <v>1007</v>
      </c>
      <c r="K211" s="163" t="s">
        <v>1007</v>
      </c>
      <c r="L211" s="168">
        <v>170000</v>
      </c>
      <c r="M211" s="163" t="s">
        <v>1007</v>
      </c>
      <c r="N211" s="168">
        <v>170000</v>
      </c>
      <c r="O211" s="163" t="s">
        <v>1007</v>
      </c>
      <c r="P211" s="168">
        <v>200000</v>
      </c>
      <c r="Q211" s="163" t="s">
        <v>1007</v>
      </c>
      <c r="R211" s="168">
        <v>250000</v>
      </c>
      <c r="S211" s="163" t="s">
        <v>1007</v>
      </c>
      <c r="T211" s="168">
        <v>300000</v>
      </c>
      <c r="U211" s="163" t="s">
        <v>1007</v>
      </c>
      <c r="V211" s="168">
        <v>330000</v>
      </c>
      <c r="W211" s="163" t="s">
        <v>1007</v>
      </c>
      <c r="X211" s="1473"/>
      <c r="Y211" s="1257" t="s">
        <v>1148</v>
      </c>
    </row>
    <row r="212" spans="2:25" ht="76.5" x14ac:dyDescent="0.25">
      <c r="B212" s="229"/>
      <c r="C212" s="674"/>
      <c r="D212" s="674"/>
      <c r="E212" s="674"/>
      <c r="F212" s="674"/>
      <c r="G212" s="173"/>
      <c r="H212" s="891" t="s">
        <v>1008</v>
      </c>
      <c r="I212" s="1473" t="s">
        <v>19</v>
      </c>
      <c r="J212" s="163">
        <v>100</v>
      </c>
      <c r="K212" s="163">
        <v>100</v>
      </c>
      <c r="L212" s="168">
        <v>0</v>
      </c>
      <c r="M212" s="163">
        <v>100</v>
      </c>
      <c r="N212" s="168">
        <v>0</v>
      </c>
      <c r="O212" s="163">
        <v>100</v>
      </c>
      <c r="P212" s="168">
        <v>0</v>
      </c>
      <c r="Q212" s="163">
        <v>100</v>
      </c>
      <c r="R212" s="168">
        <v>0</v>
      </c>
      <c r="S212" s="163">
        <v>100</v>
      </c>
      <c r="T212" s="168">
        <v>0</v>
      </c>
      <c r="U212" s="163">
        <v>100</v>
      </c>
      <c r="V212" s="168">
        <v>0</v>
      </c>
      <c r="W212" s="163">
        <v>100</v>
      </c>
      <c r="X212" s="1473"/>
      <c r="Y212" s="1257" t="s">
        <v>1148</v>
      </c>
    </row>
    <row r="213" spans="2:25" ht="38.25" x14ac:dyDescent="0.25">
      <c r="B213" s="229"/>
      <c r="C213" s="674"/>
      <c r="D213" s="674"/>
      <c r="E213" s="674"/>
      <c r="F213" s="674"/>
      <c r="G213" s="2019" t="s">
        <v>1009</v>
      </c>
      <c r="H213" s="173" t="s">
        <v>1010</v>
      </c>
      <c r="I213" s="1263" t="s">
        <v>19</v>
      </c>
      <c r="J213" s="163">
        <v>53.2</v>
      </c>
      <c r="K213" s="163">
        <v>60</v>
      </c>
      <c r="L213" s="168">
        <v>275000</v>
      </c>
      <c r="M213" s="163">
        <v>70</v>
      </c>
      <c r="N213" s="168">
        <v>300000</v>
      </c>
      <c r="O213" s="163">
        <v>73</v>
      </c>
      <c r="P213" s="168">
        <v>330000</v>
      </c>
      <c r="Q213" s="163">
        <v>74</v>
      </c>
      <c r="R213" s="168">
        <v>363000</v>
      </c>
      <c r="S213" s="163">
        <v>75</v>
      </c>
      <c r="T213" s="168">
        <v>399300</v>
      </c>
      <c r="U213" s="163">
        <v>80</v>
      </c>
      <c r="V213" s="168">
        <v>439230</v>
      </c>
      <c r="W213" s="163"/>
      <c r="X213" s="1473"/>
      <c r="Y213" s="1257" t="s">
        <v>1148</v>
      </c>
    </row>
    <row r="214" spans="2:25" ht="25.5" x14ac:dyDescent="0.25">
      <c r="B214" s="229"/>
      <c r="C214" s="674"/>
      <c r="D214" s="674"/>
      <c r="E214" s="674"/>
      <c r="F214" s="674"/>
      <c r="G214" s="2019"/>
      <c r="H214" s="1476" t="s">
        <v>1011</v>
      </c>
      <c r="I214" s="1473" t="s">
        <v>19</v>
      </c>
      <c r="J214" s="163">
        <v>100</v>
      </c>
      <c r="K214" s="163">
        <v>100</v>
      </c>
      <c r="L214" s="168">
        <v>0</v>
      </c>
      <c r="M214" s="163">
        <v>100</v>
      </c>
      <c r="N214" s="168">
        <v>0</v>
      </c>
      <c r="O214" s="163">
        <v>100</v>
      </c>
      <c r="P214" s="168">
        <v>0</v>
      </c>
      <c r="Q214" s="163">
        <v>100</v>
      </c>
      <c r="R214" s="168">
        <v>0</v>
      </c>
      <c r="S214" s="163">
        <v>100</v>
      </c>
      <c r="T214" s="168">
        <v>0</v>
      </c>
      <c r="U214" s="163">
        <v>100</v>
      </c>
      <c r="V214" s="168">
        <v>0</v>
      </c>
      <c r="W214" s="163"/>
      <c r="X214" s="1473"/>
      <c r="Y214" s="1257" t="s">
        <v>1148</v>
      </c>
    </row>
    <row r="215" spans="2:25" ht="25.5" x14ac:dyDescent="0.25">
      <c r="B215" s="229"/>
      <c r="C215" s="674"/>
      <c r="D215" s="674"/>
      <c r="E215" s="674"/>
      <c r="F215" s="674"/>
      <c r="G215" s="2019"/>
      <c r="H215" s="1476" t="s">
        <v>1012</v>
      </c>
      <c r="I215" s="1473" t="s">
        <v>19</v>
      </c>
      <c r="J215" s="163">
        <v>100</v>
      </c>
      <c r="K215" s="163">
        <v>100</v>
      </c>
      <c r="L215" s="168">
        <v>0</v>
      </c>
      <c r="M215" s="163">
        <v>100</v>
      </c>
      <c r="N215" s="168">
        <v>0</v>
      </c>
      <c r="O215" s="163">
        <v>100</v>
      </c>
      <c r="P215" s="168">
        <v>0</v>
      </c>
      <c r="Q215" s="163">
        <v>100</v>
      </c>
      <c r="R215" s="168">
        <v>0</v>
      </c>
      <c r="S215" s="163">
        <v>100</v>
      </c>
      <c r="T215" s="168">
        <v>0</v>
      </c>
      <c r="U215" s="163">
        <v>100</v>
      </c>
      <c r="V215" s="168">
        <v>0</v>
      </c>
      <c r="W215" s="163"/>
      <c r="X215" s="1473"/>
      <c r="Y215" s="1257" t="s">
        <v>1148</v>
      </c>
    </row>
    <row r="216" spans="2:25" ht="25.5" x14ac:dyDescent="0.25">
      <c r="B216" s="229"/>
      <c r="C216" s="674"/>
      <c r="D216" s="674"/>
      <c r="E216" s="674"/>
      <c r="F216" s="674"/>
      <c r="G216" s="2019"/>
      <c r="H216" s="173" t="s">
        <v>1013</v>
      </c>
      <c r="I216" s="1473" t="s">
        <v>19</v>
      </c>
      <c r="J216" s="163">
        <v>100</v>
      </c>
      <c r="K216" s="163">
        <v>100</v>
      </c>
      <c r="L216" s="168">
        <v>0</v>
      </c>
      <c r="M216" s="163">
        <v>100</v>
      </c>
      <c r="N216" s="168">
        <v>0</v>
      </c>
      <c r="O216" s="163">
        <v>100</v>
      </c>
      <c r="P216" s="168">
        <v>0</v>
      </c>
      <c r="Q216" s="163">
        <v>100</v>
      </c>
      <c r="R216" s="168">
        <v>0</v>
      </c>
      <c r="S216" s="163">
        <v>100</v>
      </c>
      <c r="T216" s="168">
        <v>0</v>
      </c>
      <c r="U216" s="163">
        <v>100</v>
      </c>
      <c r="V216" s="168">
        <v>0</v>
      </c>
      <c r="W216" s="163"/>
      <c r="X216" s="1473"/>
      <c r="Y216" s="1257" t="s">
        <v>1148</v>
      </c>
    </row>
    <row r="217" spans="2:25" ht="25.5" x14ac:dyDescent="0.25">
      <c r="B217" s="229"/>
      <c r="C217" s="674"/>
      <c r="D217" s="674"/>
      <c r="E217" s="674"/>
      <c r="F217" s="674"/>
      <c r="G217" s="2019"/>
      <c r="H217" s="173" t="s">
        <v>1014</v>
      </c>
      <c r="I217" s="1264" t="s">
        <v>19</v>
      </c>
      <c r="J217" s="163">
        <v>100</v>
      </c>
      <c r="K217" s="163">
        <v>100</v>
      </c>
      <c r="L217" s="168">
        <v>0</v>
      </c>
      <c r="M217" s="163">
        <v>100</v>
      </c>
      <c r="N217" s="168">
        <v>0</v>
      </c>
      <c r="O217" s="163">
        <v>100</v>
      </c>
      <c r="P217" s="168">
        <v>0</v>
      </c>
      <c r="Q217" s="163">
        <v>100</v>
      </c>
      <c r="R217" s="168">
        <v>0</v>
      </c>
      <c r="S217" s="163">
        <v>100</v>
      </c>
      <c r="T217" s="168">
        <v>0</v>
      </c>
      <c r="U217" s="163">
        <v>100</v>
      </c>
      <c r="V217" s="168">
        <v>0</v>
      </c>
      <c r="W217" s="163"/>
      <c r="X217" s="1473"/>
      <c r="Y217" s="1257" t="s">
        <v>1148</v>
      </c>
    </row>
    <row r="218" spans="2:25" ht="25.5" x14ac:dyDescent="0.25">
      <c r="B218" s="229"/>
      <c r="C218" s="674"/>
      <c r="D218" s="674"/>
      <c r="E218" s="674"/>
      <c r="F218" s="1478"/>
      <c r="G218" s="1476" t="s">
        <v>1016</v>
      </c>
      <c r="H218" s="1476" t="s">
        <v>1015</v>
      </c>
      <c r="I218" s="1473" t="s">
        <v>19</v>
      </c>
      <c r="J218" s="163">
        <v>65</v>
      </c>
      <c r="K218" s="163">
        <v>65</v>
      </c>
      <c r="L218" s="168">
        <f>SUM(L291:L298)</f>
        <v>400000</v>
      </c>
      <c r="M218" s="163">
        <v>70</v>
      </c>
      <c r="N218" s="168">
        <f>SUM(N291:N298)</f>
        <v>520000</v>
      </c>
      <c r="O218" s="163">
        <v>75</v>
      </c>
      <c r="P218" s="168">
        <f>SUM(P291:P298)</f>
        <v>1600000</v>
      </c>
      <c r="Q218" s="163">
        <v>80</v>
      </c>
      <c r="R218" s="168">
        <f>SUM(R291:R298)</f>
        <v>1825000</v>
      </c>
      <c r="S218" s="163">
        <v>80</v>
      </c>
      <c r="T218" s="168">
        <f>SUM(T291:T298)</f>
        <v>1850000</v>
      </c>
      <c r="U218" s="163">
        <v>85</v>
      </c>
      <c r="V218" s="168">
        <f>SUM(V291:V298)</f>
        <v>1875000</v>
      </c>
      <c r="W218" s="163">
        <v>85</v>
      </c>
      <c r="X218" s="173"/>
      <c r="Y218" s="1257" t="s">
        <v>1148</v>
      </c>
    </row>
    <row r="219" spans="2:25" ht="63.75" x14ac:dyDescent="0.25">
      <c r="B219" s="229"/>
      <c r="C219" s="674"/>
      <c r="D219" s="173" t="s">
        <v>3876</v>
      </c>
      <c r="E219" s="173" t="s">
        <v>3877</v>
      </c>
      <c r="F219" s="173" t="s">
        <v>3869</v>
      </c>
      <c r="G219" s="1473" t="s">
        <v>3870</v>
      </c>
      <c r="H219" s="891"/>
      <c r="I219" s="1473" t="s">
        <v>19</v>
      </c>
      <c r="J219" s="163">
        <v>100</v>
      </c>
      <c r="K219" s="163">
        <v>100</v>
      </c>
      <c r="L219" s="885"/>
      <c r="M219" s="168">
        <v>100</v>
      </c>
      <c r="N219" s="885"/>
      <c r="O219" s="163">
        <v>100</v>
      </c>
      <c r="P219" s="885"/>
      <c r="Q219" s="168">
        <v>100</v>
      </c>
      <c r="R219" s="168"/>
      <c r="S219" s="163">
        <v>100</v>
      </c>
      <c r="T219" s="168"/>
      <c r="U219" s="168">
        <v>100</v>
      </c>
      <c r="V219" s="168"/>
      <c r="W219" s="168">
        <v>100</v>
      </c>
      <c r="X219" s="173"/>
      <c r="Y219" s="1257" t="s">
        <v>1148</v>
      </c>
    </row>
    <row r="220" spans="2:25" ht="51" x14ac:dyDescent="0.25">
      <c r="B220" s="229"/>
      <c r="C220" s="674"/>
      <c r="D220" s="173" t="s">
        <v>3878</v>
      </c>
      <c r="E220" s="173" t="s">
        <v>3879</v>
      </c>
      <c r="F220" s="173" t="s">
        <v>3871</v>
      </c>
      <c r="G220" s="1473" t="s">
        <v>3872</v>
      </c>
      <c r="H220" s="891"/>
      <c r="I220" s="1473" t="s">
        <v>19</v>
      </c>
      <c r="J220" s="163">
        <v>0.02</v>
      </c>
      <c r="K220" s="163">
        <v>0.04</v>
      </c>
      <c r="L220" s="1238"/>
      <c r="M220" s="1616">
        <v>0.04</v>
      </c>
      <c r="N220" s="1238"/>
      <c r="O220" s="1617">
        <v>3.5000000000000003E-2</v>
      </c>
      <c r="P220" s="1238"/>
      <c r="Q220" s="168">
        <v>3.5000000000000003E-2</v>
      </c>
      <c r="R220" s="168"/>
      <c r="S220" s="163">
        <v>0.03</v>
      </c>
      <c r="T220" s="168"/>
      <c r="U220" s="168">
        <v>0.03</v>
      </c>
      <c r="V220" s="168"/>
      <c r="W220" s="168">
        <v>0.03</v>
      </c>
      <c r="X220" s="173"/>
      <c r="Y220" s="1257" t="s">
        <v>1148</v>
      </c>
    </row>
    <row r="221" spans="2:25" ht="38.25" x14ac:dyDescent="0.25">
      <c r="B221" s="229"/>
      <c r="C221" s="674"/>
      <c r="D221" s="674"/>
      <c r="E221" s="674"/>
      <c r="F221" s="1478"/>
      <c r="G221" s="1476" t="s">
        <v>1028</v>
      </c>
      <c r="H221" s="1476" t="s">
        <v>1027</v>
      </c>
      <c r="I221" s="1473" t="s">
        <v>19</v>
      </c>
      <c r="J221" s="163">
        <v>60</v>
      </c>
      <c r="K221" s="163">
        <v>70</v>
      </c>
      <c r="L221" s="168">
        <f>SUM(L222:L237)</f>
        <v>9776000</v>
      </c>
      <c r="M221" s="163">
        <v>75</v>
      </c>
      <c r="N221" s="168">
        <f>SUM(N222:N237)</f>
        <v>9889000</v>
      </c>
      <c r="O221" s="163">
        <v>80</v>
      </c>
      <c r="P221" s="168">
        <f>SUM(P222:P237)</f>
        <v>9947900</v>
      </c>
      <c r="Q221" s="163">
        <v>80</v>
      </c>
      <c r="R221" s="168">
        <f>SUM(R222:R237)</f>
        <v>10009690</v>
      </c>
      <c r="S221" s="163">
        <v>80</v>
      </c>
      <c r="T221" s="168">
        <f>SUM(T222:T237)</f>
        <v>10074659</v>
      </c>
      <c r="U221" s="163">
        <v>80</v>
      </c>
      <c r="V221" s="168">
        <f>SUM(V222:V237)</f>
        <v>10118124.9</v>
      </c>
      <c r="W221" s="163">
        <v>80</v>
      </c>
      <c r="X221" s="1473"/>
      <c r="Y221" s="1257" t="s">
        <v>1148</v>
      </c>
    </row>
    <row r="222" spans="2:25" ht="89.25" x14ac:dyDescent="0.25">
      <c r="B222" s="229"/>
      <c r="C222" s="674"/>
      <c r="D222" s="674"/>
      <c r="E222" s="674"/>
      <c r="F222" s="674"/>
      <c r="G222" s="1476" t="s">
        <v>1029</v>
      </c>
      <c r="H222" s="1476" t="s">
        <v>1030</v>
      </c>
      <c r="I222" s="1473" t="s">
        <v>19</v>
      </c>
      <c r="J222" s="163">
        <v>2.8</v>
      </c>
      <c r="K222" s="163">
        <v>5.7</v>
      </c>
      <c r="L222" s="168">
        <v>219000</v>
      </c>
      <c r="M222" s="163">
        <v>8.6</v>
      </c>
      <c r="N222" s="168">
        <v>289000</v>
      </c>
      <c r="O222" s="163">
        <v>11.4</v>
      </c>
      <c r="P222" s="168">
        <v>317900</v>
      </c>
      <c r="Q222" s="163">
        <v>14.2</v>
      </c>
      <c r="R222" s="168">
        <v>349690</v>
      </c>
      <c r="S222" s="163">
        <v>17.100000000000001</v>
      </c>
      <c r="T222" s="168">
        <v>384659</v>
      </c>
      <c r="U222" s="163">
        <v>17.100000000000001</v>
      </c>
      <c r="V222" s="168">
        <v>423124.9</v>
      </c>
      <c r="W222" s="163"/>
      <c r="X222" s="1473"/>
      <c r="Y222" s="1257" t="s">
        <v>1148</v>
      </c>
    </row>
    <row r="223" spans="2:25" ht="51" x14ac:dyDescent="0.25">
      <c r="B223" s="229"/>
      <c r="C223" s="674"/>
      <c r="D223" s="674"/>
      <c r="E223" s="674"/>
      <c r="F223" s="674"/>
      <c r="G223" s="1476"/>
      <c r="H223" s="173" t="s">
        <v>1031</v>
      </c>
      <c r="I223" s="1473" t="s">
        <v>19</v>
      </c>
      <c r="J223" s="163">
        <v>25</v>
      </c>
      <c r="K223" s="163">
        <v>35</v>
      </c>
      <c r="L223" s="168"/>
      <c r="M223" s="163">
        <v>50</v>
      </c>
      <c r="N223" s="168"/>
      <c r="O223" s="163">
        <v>55</v>
      </c>
      <c r="P223" s="168"/>
      <c r="Q223" s="163">
        <v>60</v>
      </c>
      <c r="R223" s="168"/>
      <c r="S223" s="163">
        <v>65</v>
      </c>
      <c r="T223" s="168"/>
      <c r="U223" s="163">
        <v>70</v>
      </c>
      <c r="V223" s="168"/>
      <c r="W223" s="163">
        <v>70</v>
      </c>
      <c r="X223" s="1473"/>
      <c r="Y223" s="1257" t="s">
        <v>1148</v>
      </c>
    </row>
    <row r="224" spans="2:25" ht="76.5" x14ac:dyDescent="0.25">
      <c r="B224" s="229"/>
      <c r="C224" s="674"/>
      <c r="D224" s="674"/>
      <c r="E224" s="674"/>
      <c r="F224" s="674"/>
      <c r="G224" s="1476"/>
      <c r="H224" s="1476" t="s">
        <v>1032</v>
      </c>
      <c r="I224" s="1473" t="s">
        <v>19</v>
      </c>
      <c r="J224" s="163">
        <v>80</v>
      </c>
      <c r="K224" s="163">
        <v>85</v>
      </c>
      <c r="L224" s="168"/>
      <c r="M224" s="163">
        <v>90</v>
      </c>
      <c r="N224" s="168"/>
      <c r="O224" s="163">
        <v>95</v>
      </c>
      <c r="P224" s="168"/>
      <c r="Q224" s="163">
        <v>100</v>
      </c>
      <c r="R224" s="168"/>
      <c r="S224" s="163">
        <v>100</v>
      </c>
      <c r="T224" s="168"/>
      <c r="U224" s="163">
        <v>100</v>
      </c>
      <c r="V224" s="168"/>
      <c r="W224" s="163"/>
      <c r="X224" s="1473"/>
      <c r="Y224" s="1257" t="s">
        <v>1148</v>
      </c>
    </row>
    <row r="225" spans="2:25" ht="76.5" x14ac:dyDescent="0.25">
      <c r="B225" s="229"/>
      <c r="C225" s="674"/>
      <c r="D225" s="674"/>
      <c r="E225" s="674"/>
      <c r="F225" s="674"/>
      <c r="G225" s="1476"/>
      <c r="H225" s="1476" t="s">
        <v>1033</v>
      </c>
      <c r="I225" s="1473" t="s">
        <v>19</v>
      </c>
      <c r="J225" s="163">
        <v>31</v>
      </c>
      <c r="K225" s="163">
        <v>60</v>
      </c>
      <c r="L225" s="168"/>
      <c r="M225" s="163">
        <v>65</v>
      </c>
      <c r="N225" s="168"/>
      <c r="O225" s="163">
        <v>70</v>
      </c>
      <c r="P225" s="168"/>
      <c r="Q225" s="163">
        <v>75</v>
      </c>
      <c r="R225" s="168"/>
      <c r="S225" s="163">
        <v>80</v>
      </c>
      <c r="T225" s="168"/>
      <c r="U225" s="163">
        <v>80</v>
      </c>
      <c r="V225" s="168"/>
      <c r="W225" s="163">
        <v>80</v>
      </c>
      <c r="X225" s="1473"/>
      <c r="Y225" s="1257" t="s">
        <v>1148</v>
      </c>
    </row>
    <row r="226" spans="2:25" ht="63.75" x14ac:dyDescent="0.25">
      <c r="B226" s="229"/>
      <c r="C226" s="674"/>
      <c r="D226" s="674"/>
      <c r="E226" s="674"/>
      <c r="F226" s="674"/>
      <c r="G226" s="1476"/>
      <c r="H226" s="1476" t="s">
        <v>1034</v>
      </c>
      <c r="I226" s="1473" t="s">
        <v>19</v>
      </c>
      <c r="J226" s="163">
        <v>100</v>
      </c>
      <c r="K226" s="163">
        <v>100</v>
      </c>
      <c r="L226" s="168"/>
      <c r="M226" s="163">
        <v>100</v>
      </c>
      <c r="N226" s="168"/>
      <c r="O226" s="163">
        <v>100</v>
      </c>
      <c r="P226" s="168"/>
      <c r="Q226" s="163">
        <v>100</v>
      </c>
      <c r="R226" s="168"/>
      <c r="S226" s="163">
        <v>100</v>
      </c>
      <c r="T226" s="168"/>
      <c r="U226" s="163">
        <v>100</v>
      </c>
      <c r="V226" s="168"/>
      <c r="W226" s="163"/>
      <c r="X226" s="1473"/>
      <c r="Y226" s="1257" t="s">
        <v>1148</v>
      </c>
    </row>
    <row r="227" spans="2:25" ht="63.75" x14ac:dyDescent="0.25">
      <c r="B227" s="229"/>
      <c r="C227" s="674"/>
      <c r="D227" s="674"/>
      <c r="E227" s="674"/>
      <c r="F227" s="674"/>
      <c r="G227" s="1476"/>
      <c r="H227" s="1476" t="s">
        <v>1034</v>
      </c>
      <c r="I227" s="1473" t="s">
        <v>19</v>
      </c>
      <c r="J227" s="163">
        <v>100</v>
      </c>
      <c r="K227" s="163">
        <v>100</v>
      </c>
      <c r="L227" s="168"/>
      <c r="M227" s="163">
        <v>100</v>
      </c>
      <c r="N227" s="168"/>
      <c r="O227" s="163">
        <v>100</v>
      </c>
      <c r="P227" s="168"/>
      <c r="Q227" s="163">
        <v>100</v>
      </c>
      <c r="R227" s="168"/>
      <c r="S227" s="163">
        <v>100</v>
      </c>
      <c r="T227" s="168"/>
      <c r="U227" s="163">
        <v>100</v>
      </c>
      <c r="V227" s="168"/>
      <c r="W227" s="163"/>
      <c r="X227" s="1473"/>
      <c r="Y227" s="1257" t="s">
        <v>1148</v>
      </c>
    </row>
    <row r="228" spans="2:25" ht="63.75" x14ac:dyDescent="0.25">
      <c r="B228" s="229"/>
      <c r="C228" s="674"/>
      <c r="D228" s="674"/>
      <c r="E228" s="674"/>
      <c r="F228" s="674"/>
      <c r="G228" s="173" t="s">
        <v>1035</v>
      </c>
      <c r="H228" s="1476" t="s">
        <v>1036</v>
      </c>
      <c r="I228" s="1473" t="s">
        <v>40</v>
      </c>
      <c r="J228" s="163">
        <v>12</v>
      </c>
      <c r="K228" s="163">
        <v>12</v>
      </c>
      <c r="L228" s="168">
        <v>9357000</v>
      </c>
      <c r="M228" s="163">
        <v>12</v>
      </c>
      <c r="N228" s="168">
        <v>9370000</v>
      </c>
      <c r="O228" s="163">
        <v>12</v>
      </c>
      <c r="P228" s="168">
        <v>9370000</v>
      </c>
      <c r="Q228" s="163">
        <v>12</v>
      </c>
      <c r="R228" s="168">
        <v>9370000</v>
      </c>
      <c r="S228" s="163">
        <v>12</v>
      </c>
      <c r="T228" s="168">
        <v>9370000</v>
      </c>
      <c r="U228" s="163">
        <v>12</v>
      </c>
      <c r="V228" s="168">
        <v>9370000</v>
      </c>
      <c r="W228" s="163"/>
      <c r="X228" s="1473"/>
      <c r="Y228" s="1257" t="s">
        <v>1148</v>
      </c>
    </row>
    <row r="229" spans="2:25" ht="38.25" x14ac:dyDescent="0.25">
      <c r="B229" s="229"/>
      <c r="C229" s="674"/>
      <c r="D229" s="674"/>
      <c r="E229" s="674"/>
      <c r="F229" s="674"/>
      <c r="G229" s="173" t="s">
        <v>1037</v>
      </c>
      <c r="H229" s="1476" t="s">
        <v>1038</v>
      </c>
      <c r="I229" s="1473" t="s">
        <v>653</v>
      </c>
      <c r="J229" s="163">
        <v>15</v>
      </c>
      <c r="K229" s="163">
        <v>15</v>
      </c>
      <c r="L229" s="1265">
        <v>75000</v>
      </c>
      <c r="M229" s="163">
        <v>20</v>
      </c>
      <c r="N229" s="168">
        <v>100000</v>
      </c>
      <c r="O229" s="163">
        <v>35</v>
      </c>
      <c r="P229" s="168">
        <v>125000</v>
      </c>
      <c r="Q229" s="163">
        <v>35</v>
      </c>
      <c r="R229" s="168">
        <v>150000</v>
      </c>
      <c r="S229" s="163">
        <v>35</v>
      </c>
      <c r="T229" s="168">
        <v>175000</v>
      </c>
      <c r="U229" s="163">
        <v>35</v>
      </c>
      <c r="V229" s="168">
        <v>175000</v>
      </c>
      <c r="W229" s="163"/>
      <c r="X229" s="1473"/>
      <c r="Y229" s="1257" t="s">
        <v>1148</v>
      </c>
    </row>
    <row r="230" spans="2:25" ht="38.25" x14ac:dyDescent="0.25">
      <c r="B230" s="229"/>
      <c r="C230" s="674"/>
      <c r="D230" s="674"/>
      <c r="E230" s="674"/>
      <c r="F230" s="674"/>
      <c r="G230" s="673"/>
      <c r="H230" s="1476" t="s">
        <v>1039</v>
      </c>
      <c r="I230" s="1473" t="s">
        <v>1040</v>
      </c>
      <c r="J230" s="163">
        <v>42</v>
      </c>
      <c r="K230" s="163">
        <v>42</v>
      </c>
      <c r="L230" s="1265"/>
      <c r="M230" s="163">
        <v>50</v>
      </c>
      <c r="N230" s="168"/>
      <c r="O230" s="163">
        <v>70</v>
      </c>
      <c r="P230" s="168"/>
      <c r="Q230" s="163">
        <v>70</v>
      </c>
      <c r="R230" s="168"/>
      <c r="S230" s="163">
        <v>75</v>
      </c>
      <c r="T230" s="168"/>
      <c r="U230" s="163">
        <v>75</v>
      </c>
      <c r="V230" s="168"/>
      <c r="W230" s="163"/>
      <c r="X230" s="1473"/>
      <c r="Y230" s="1257" t="s">
        <v>1148</v>
      </c>
    </row>
    <row r="231" spans="2:25" ht="63.75" x14ac:dyDescent="0.25">
      <c r="B231" s="229"/>
      <c r="C231" s="674"/>
      <c r="D231" s="674"/>
      <c r="E231" s="674"/>
      <c r="F231" s="674"/>
      <c r="G231" s="674"/>
      <c r="H231" s="1476" t="s">
        <v>1041</v>
      </c>
      <c r="I231" s="1473" t="s">
        <v>427</v>
      </c>
      <c r="J231" s="163">
        <v>40</v>
      </c>
      <c r="K231" s="163">
        <v>40</v>
      </c>
      <c r="L231" s="1265"/>
      <c r="M231" s="163">
        <v>42</v>
      </c>
      <c r="N231" s="168"/>
      <c r="O231" s="163">
        <v>42</v>
      </c>
      <c r="P231" s="168"/>
      <c r="Q231" s="163">
        <v>42</v>
      </c>
      <c r="R231" s="168"/>
      <c r="S231" s="163">
        <v>42</v>
      </c>
      <c r="T231" s="168"/>
      <c r="U231" s="163">
        <v>42</v>
      </c>
      <c r="V231" s="168"/>
      <c r="W231" s="163"/>
      <c r="X231" s="1473"/>
      <c r="Y231" s="1257" t="s">
        <v>1148</v>
      </c>
    </row>
    <row r="232" spans="2:25" ht="76.5" x14ac:dyDescent="0.25">
      <c r="B232" s="229"/>
      <c r="C232" s="674"/>
      <c r="D232" s="674"/>
      <c r="E232" s="674"/>
      <c r="F232" s="674"/>
      <c r="G232" s="674"/>
      <c r="H232" s="1476" t="s">
        <v>1042</v>
      </c>
      <c r="I232" s="1473" t="s">
        <v>19</v>
      </c>
      <c r="J232" s="163">
        <v>8.4</v>
      </c>
      <c r="K232" s="163">
        <v>15</v>
      </c>
      <c r="L232" s="168"/>
      <c r="M232" s="163">
        <v>25</v>
      </c>
      <c r="N232" s="168"/>
      <c r="O232" s="163">
        <v>35</v>
      </c>
      <c r="P232" s="168"/>
      <c r="Q232" s="163">
        <v>45</v>
      </c>
      <c r="R232" s="168"/>
      <c r="S232" s="163">
        <v>55</v>
      </c>
      <c r="T232" s="168"/>
      <c r="U232" s="163">
        <v>70</v>
      </c>
      <c r="V232" s="168"/>
      <c r="W232" s="163"/>
      <c r="X232" s="1473"/>
      <c r="Y232" s="1257" t="s">
        <v>1148</v>
      </c>
    </row>
    <row r="233" spans="2:25" ht="102" x14ac:dyDescent="0.25">
      <c r="B233" s="229"/>
      <c r="C233" s="674"/>
      <c r="D233" s="674"/>
      <c r="E233" s="674"/>
      <c r="F233" s="674"/>
      <c r="G233" s="675"/>
      <c r="H233" s="1476" t="s">
        <v>1043</v>
      </c>
      <c r="I233" s="1473" t="s">
        <v>19</v>
      </c>
      <c r="J233" s="163">
        <v>15</v>
      </c>
      <c r="K233" s="163">
        <v>20</v>
      </c>
      <c r="L233" s="168"/>
      <c r="M233" s="163">
        <v>25</v>
      </c>
      <c r="N233" s="168"/>
      <c r="O233" s="163">
        <v>35</v>
      </c>
      <c r="P233" s="168"/>
      <c r="Q233" s="163">
        <v>45</v>
      </c>
      <c r="R233" s="168"/>
      <c r="S233" s="163">
        <v>55</v>
      </c>
      <c r="T233" s="168"/>
      <c r="U233" s="163">
        <v>70</v>
      </c>
      <c r="V233" s="168"/>
      <c r="W233" s="163"/>
      <c r="X233" s="1473"/>
      <c r="Y233" s="1257" t="s">
        <v>1148</v>
      </c>
    </row>
    <row r="234" spans="2:25" ht="51" x14ac:dyDescent="0.25">
      <c r="B234" s="229"/>
      <c r="C234" s="674"/>
      <c r="D234" s="674"/>
      <c r="E234" s="674"/>
      <c r="F234" s="674"/>
      <c r="G234" s="2019" t="s">
        <v>1044</v>
      </c>
      <c r="H234" s="173" t="s">
        <v>1045</v>
      </c>
      <c r="I234" s="1473" t="s">
        <v>19</v>
      </c>
      <c r="J234" s="163">
        <v>38</v>
      </c>
      <c r="K234" s="163">
        <v>40</v>
      </c>
      <c r="L234" s="168">
        <v>125000</v>
      </c>
      <c r="M234" s="163">
        <v>42</v>
      </c>
      <c r="N234" s="168">
        <v>130000</v>
      </c>
      <c r="O234" s="163">
        <v>44</v>
      </c>
      <c r="P234" s="168">
        <v>135000</v>
      </c>
      <c r="Q234" s="163">
        <v>46</v>
      </c>
      <c r="R234" s="168">
        <v>140000</v>
      </c>
      <c r="S234" s="163">
        <v>48</v>
      </c>
      <c r="T234" s="168">
        <v>145000</v>
      </c>
      <c r="U234" s="163">
        <v>50</v>
      </c>
      <c r="V234" s="168">
        <v>150000</v>
      </c>
      <c r="W234" s="163"/>
      <c r="X234" s="173"/>
      <c r="Y234" s="1257" t="s">
        <v>1148</v>
      </c>
    </row>
    <row r="235" spans="2:25" ht="63.75" x14ac:dyDescent="0.25">
      <c r="B235" s="229"/>
      <c r="C235" s="674"/>
      <c r="D235" s="674"/>
      <c r="E235" s="674"/>
      <c r="F235" s="674"/>
      <c r="G235" s="2019"/>
      <c r="H235" s="173" t="s">
        <v>1046</v>
      </c>
      <c r="I235" s="1473" t="s">
        <v>75</v>
      </c>
      <c r="J235" s="163"/>
      <c r="K235" s="163">
        <v>35</v>
      </c>
      <c r="L235" s="168"/>
      <c r="M235" s="163">
        <v>35</v>
      </c>
      <c r="N235" s="168"/>
      <c r="O235" s="163">
        <v>35</v>
      </c>
      <c r="P235" s="168"/>
      <c r="Q235" s="163">
        <v>35</v>
      </c>
      <c r="R235" s="168"/>
      <c r="S235" s="163">
        <v>35</v>
      </c>
      <c r="T235" s="168"/>
      <c r="U235" s="163">
        <v>35</v>
      </c>
      <c r="V235" s="168"/>
      <c r="W235" s="163"/>
      <c r="X235" s="173"/>
      <c r="Y235" s="1257" t="s">
        <v>1148</v>
      </c>
    </row>
    <row r="236" spans="2:25" ht="89.25" x14ac:dyDescent="0.25">
      <c r="B236" s="229"/>
      <c r="C236" s="674"/>
      <c r="D236" s="674"/>
      <c r="E236" s="674"/>
      <c r="F236" s="674"/>
      <c r="G236" s="2019"/>
      <c r="H236" s="173" t="s">
        <v>1047</v>
      </c>
      <c r="I236" s="1473" t="s">
        <v>103</v>
      </c>
      <c r="J236" s="163"/>
      <c r="K236" s="163">
        <v>2</v>
      </c>
      <c r="L236" s="168"/>
      <c r="M236" s="163">
        <v>2</v>
      </c>
      <c r="N236" s="168"/>
      <c r="O236" s="163">
        <v>2</v>
      </c>
      <c r="P236" s="168"/>
      <c r="Q236" s="163">
        <v>2</v>
      </c>
      <c r="R236" s="168"/>
      <c r="S236" s="163">
        <v>2</v>
      </c>
      <c r="T236" s="168"/>
      <c r="U236" s="163">
        <v>2</v>
      </c>
      <c r="V236" s="168"/>
      <c r="W236" s="163"/>
      <c r="X236" s="173"/>
      <c r="Y236" s="1257" t="s">
        <v>1148</v>
      </c>
    </row>
    <row r="237" spans="2:25" ht="38.25" x14ac:dyDescent="0.25">
      <c r="B237" s="229"/>
      <c r="C237" s="674"/>
      <c r="D237" s="674"/>
      <c r="E237" s="674"/>
      <c r="F237" s="674"/>
      <c r="G237" s="2019"/>
      <c r="H237" s="173" t="s">
        <v>1048</v>
      </c>
      <c r="I237" s="1473" t="s">
        <v>103</v>
      </c>
      <c r="J237" s="163"/>
      <c r="K237" s="163">
        <v>1</v>
      </c>
      <c r="L237" s="168"/>
      <c r="M237" s="163">
        <v>1</v>
      </c>
      <c r="N237" s="168"/>
      <c r="O237" s="163">
        <v>1</v>
      </c>
      <c r="P237" s="168"/>
      <c r="Q237" s="163">
        <v>1</v>
      </c>
      <c r="R237" s="168"/>
      <c r="S237" s="163">
        <v>1</v>
      </c>
      <c r="T237" s="168"/>
      <c r="U237" s="163">
        <v>1</v>
      </c>
      <c r="V237" s="168"/>
      <c r="W237" s="163"/>
      <c r="X237" s="173"/>
      <c r="Y237" s="1257" t="s">
        <v>1148</v>
      </c>
    </row>
    <row r="238" spans="2:25" ht="51" x14ac:dyDescent="0.25">
      <c r="B238" s="229"/>
      <c r="C238" s="674"/>
      <c r="D238" s="674"/>
      <c r="E238" s="674"/>
      <c r="F238" s="674"/>
      <c r="G238" s="173" t="s">
        <v>1050</v>
      </c>
      <c r="H238" s="173" t="s">
        <v>1049</v>
      </c>
      <c r="I238" s="1473" t="s">
        <v>19</v>
      </c>
      <c r="J238" s="163">
        <v>11.52</v>
      </c>
      <c r="K238" s="163">
        <v>15</v>
      </c>
      <c r="L238" s="168">
        <f>SUM(L239:L251)</f>
        <v>447000</v>
      </c>
      <c r="M238" s="163">
        <v>18</v>
      </c>
      <c r="N238" s="168">
        <f>SUM(N239:N251)</f>
        <v>541000</v>
      </c>
      <c r="O238" s="163">
        <v>20</v>
      </c>
      <c r="P238" s="168">
        <f>SUM(P239:P251)</f>
        <v>579000</v>
      </c>
      <c r="Q238" s="163">
        <v>23</v>
      </c>
      <c r="R238" s="168">
        <f>SUM(R239:R251)</f>
        <v>620000</v>
      </c>
      <c r="S238" s="163">
        <v>25</v>
      </c>
      <c r="T238" s="168">
        <f>SUM(T239:T251)</f>
        <v>664300</v>
      </c>
      <c r="U238" s="163">
        <v>27</v>
      </c>
      <c r="V238" s="168">
        <f>SUM(V239:V251)</f>
        <v>712230</v>
      </c>
      <c r="W238" s="163">
        <f>U238</f>
        <v>27</v>
      </c>
      <c r="X238" s="173"/>
      <c r="Y238" s="1257" t="s">
        <v>1148</v>
      </c>
    </row>
    <row r="239" spans="2:25" ht="114.75" x14ac:dyDescent="0.25">
      <c r="B239" s="229"/>
      <c r="C239" s="674"/>
      <c r="D239" s="674"/>
      <c r="E239" s="674"/>
      <c r="F239" s="674"/>
      <c r="G239" s="2019" t="s">
        <v>1051</v>
      </c>
      <c r="H239" s="173" t="s">
        <v>1052</v>
      </c>
      <c r="I239" s="1473" t="s">
        <v>75</v>
      </c>
      <c r="J239" s="1245">
        <v>35</v>
      </c>
      <c r="K239" s="1245">
        <v>35</v>
      </c>
      <c r="L239" s="1266">
        <v>5000</v>
      </c>
      <c r="M239" s="163">
        <v>35</v>
      </c>
      <c r="N239" s="1266">
        <v>5000</v>
      </c>
      <c r="O239" s="163">
        <v>35</v>
      </c>
      <c r="P239" s="1266">
        <v>5000</v>
      </c>
      <c r="Q239" s="163">
        <v>35</v>
      </c>
      <c r="R239" s="1266">
        <v>5000</v>
      </c>
      <c r="S239" s="163">
        <v>35</v>
      </c>
      <c r="T239" s="1266">
        <v>5000</v>
      </c>
      <c r="U239" s="163">
        <v>35</v>
      </c>
      <c r="V239" s="1266">
        <v>5000</v>
      </c>
      <c r="W239" s="163"/>
      <c r="X239" s="1480"/>
      <c r="Y239" s="1257" t="s">
        <v>1148</v>
      </c>
    </row>
    <row r="240" spans="2:25" ht="102" x14ac:dyDescent="0.25">
      <c r="B240" s="229"/>
      <c r="C240" s="674"/>
      <c r="D240" s="674"/>
      <c r="E240" s="674"/>
      <c r="F240" s="674"/>
      <c r="G240" s="2019"/>
      <c r="H240" s="173" t="s">
        <v>1053</v>
      </c>
      <c r="I240" s="1473" t="s">
        <v>75</v>
      </c>
      <c r="J240" s="1245">
        <v>3</v>
      </c>
      <c r="K240" s="1245">
        <v>3</v>
      </c>
      <c r="L240" s="1266">
        <v>6000</v>
      </c>
      <c r="M240" s="163">
        <v>9</v>
      </c>
      <c r="N240" s="1266">
        <v>6000</v>
      </c>
      <c r="O240" s="163">
        <v>12</v>
      </c>
      <c r="P240" s="1266">
        <v>6000</v>
      </c>
      <c r="Q240" s="163">
        <v>15</v>
      </c>
      <c r="R240" s="1266">
        <v>6000</v>
      </c>
      <c r="S240" s="163">
        <v>18</v>
      </c>
      <c r="T240" s="1266">
        <v>6000</v>
      </c>
      <c r="U240" s="163">
        <v>21</v>
      </c>
      <c r="V240" s="1266">
        <v>6000</v>
      </c>
      <c r="W240" s="163"/>
      <c r="X240" s="1480"/>
      <c r="Y240" s="1257" t="s">
        <v>1148</v>
      </c>
    </row>
    <row r="241" spans="2:25" ht="102" x14ac:dyDescent="0.25">
      <c r="B241" s="229"/>
      <c r="C241" s="674"/>
      <c r="D241" s="674"/>
      <c r="E241" s="674"/>
      <c r="F241" s="674"/>
      <c r="G241" s="2019"/>
      <c r="H241" s="173" t="s">
        <v>1054</v>
      </c>
      <c r="I241" s="1473" t="s">
        <v>103</v>
      </c>
      <c r="J241" s="1245">
        <v>1</v>
      </c>
      <c r="K241" s="1245">
        <v>1</v>
      </c>
      <c r="L241" s="1266">
        <v>14000</v>
      </c>
      <c r="M241" s="163">
        <v>1</v>
      </c>
      <c r="N241" s="1266">
        <v>15000</v>
      </c>
      <c r="O241" s="163">
        <v>1</v>
      </c>
      <c r="P241" s="1266">
        <v>15000</v>
      </c>
      <c r="Q241" s="163">
        <v>1</v>
      </c>
      <c r="R241" s="1266">
        <v>15000</v>
      </c>
      <c r="S241" s="163">
        <v>1</v>
      </c>
      <c r="T241" s="1266">
        <v>15000</v>
      </c>
      <c r="U241" s="163">
        <v>1</v>
      </c>
      <c r="V241" s="1266">
        <v>15000</v>
      </c>
      <c r="W241" s="163"/>
      <c r="X241" s="1480"/>
      <c r="Y241" s="1257" t="s">
        <v>1148</v>
      </c>
    </row>
    <row r="242" spans="2:25" ht="38.25" x14ac:dyDescent="0.25">
      <c r="B242" s="229"/>
      <c r="C242" s="674"/>
      <c r="D242" s="674"/>
      <c r="E242" s="674"/>
      <c r="F242" s="674"/>
      <c r="G242" s="2019"/>
      <c r="H242" s="173" t="s">
        <v>1055</v>
      </c>
      <c r="I242" s="1473" t="s">
        <v>103</v>
      </c>
      <c r="J242" s="1245">
        <v>0</v>
      </c>
      <c r="K242" s="1245">
        <v>0</v>
      </c>
      <c r="L242" s="1266">
        <v>0</v>
      </c>
      <c r="M242" s="163">
        <v>1</v>
      </c>
      <c r="N242" s="1266">
        <v>40000</v>
      </c>
      <c r="O242" s="163">
        <v>2</v>
      </c>
      <c r="P242" s="1266">
        <v>40000</v>
      </c>
      <c r="Q242" s="163">
        <v>3</v>
      </c>
      <c r="R242" s="1266">
        <v>40000</v>
      </c>
      <c r="S242" s="163">
        <v>4</v>
      </c>
      <c r="T242" s="1266">
        <v>40000</v>
      </c>
      <c r="U242" s="163">
        <v>5</v>
      </c>
      <c r="V242" s="1266">
        <v>40000</v>
      </c>
      <c r="W242" s="163"/>
      <c r="X242" s="1480"/>
      <c r="Y242" s="1257" t="s">
        <v>1148</v>
      </c>
    </row>
    <row r="243" spans="2:25" ht="63.75" x14ac:dyDescent="0.25">
      <c r="B243" s="229"/>
      <c r="C243" s="674"/>
      <c r="D243" s="674"/>
      <c r="E243" s="674"/>
      <c r="F243" s="674"/>
      <c r="G243" s="2019"/>
      <c r="H243" s="173" t="s">
        <v>1056</v>
      </c>
      <c r="I243" s="1473" t="s">
        <v>103</v>
      </c>
      <c r="J243" s="1245">
        <v>0</v>
      </c>
      <c r="K243" s="1245">
        <v>0</v>
      </c>
      <c r="L243" s="1266">
        <v>0</v>
      </c>
      <c r="M243" s="163">
        <v>1</v>
      </c>
      <c r="N243" s="1266">
        <v>40000</v>
      </c>
      <c r="O243" s="163">
        <v>2</v>
      </c>
      <c r="P243" s="1266">
        <v>40000</v>
      </c>
      <c r="Q243" s="163">
        <v>3</v>
      </c>
      <c r="R243" s="1266">
        <v>40000</v>
      </c>
      <c r="S243" s="163">
        <v>4</v>
      </c>
      <c r="T243" s="1266">
        <v>40000</v>
      </c>
      <c r="U243" s="163">
        <v>5</v>
      </c>
      <c r="V243" s="1266">
        <v>40000</v>
      </c>
      <c r="W243" s="163"/>
      <c r="X243" s="1480"/>
      <c r="Y243" s="1257" t="s">
        <v>1148</v>
      </c>
    </row>
    <row r="244" spans="2:25" ht="51" x14ac:dyDescent="0.25">
      <c r="B244" s="229"/>
      <c r="C244" s="674"/>
      <c r="D244" s="674"/>
      <c r="E244" s="674"/>
      <c r="F244" s="674"/>
      <c r="G244" s="2019"/>
      <c r="H244" s="173" t="s">
        <v>1057</v>
      </c>
      <c r="I244" s="1473" t="s">
        <v>1058</v>
      </c>
      <c r="J244" s="1245">
        <v>30</v>
      </c>
      <c r="K244" s="1245">
        <v>30</v>
      </c>
      <c r="L244" s="1266">
        <v>23000</v>
      </c>
      <c r="M244" s="163">
        <v>30</v>
      </c>
      <c r="N244" s="1266">
        <v>23000</v>
      </c>
      <c r="O244" s="163">
        <v>40</v>
      </c>
      <c r="P244" s="1266">
        <v>23000</v>
      </c>
      <c r="Q244" s="163">
        <v>50</v>
      </c>
      <c r="R244" s="1266">
        <v>23000</v>
      </c>
      <c r="S244" s="163">
        <v>60</v>
      </c>
      <c r="T244" s="1266">
        <v>23000</v>
      </c>
      <c r="U244" s="163">
        <v>70</v>
      </c>
      <c r="V244" s="1266">
        <v>23000</v>
      </c>
      <c r="W244" s="163"/>
      <c r="X244" s="1480"/>
      <c r="Y244" s="1257" t="s">
        <v>1148</v>
      </c>
    </row>
    <row r="245" spans="2:25" ht="89.25" x14ac:dyDescent="0.25">
      <c r="B245" s="229"/>
      <c r="C245" s="674"/>
      <c r="D245" s="674"/>
      <c r="E245" s="674"/>
      <c r="F245" s="674"/>
      <c r="G245" s="2019"/>
      <c r="H245" s="173" t="s">
        <v>1059</v>
      </c>
      <c r="I245" s="1473" t="s">
        <v>100</v>
      </c>
      <c r="J245" s="1245">
        <v>300</v>
      </c>
      <c r="K245" s="1245">
        <v>460</v>
      </c>
      <c r="L245" s="1266">
        <v>15000</v>
      </c>
      <c r="M245" s="163">
        <v>460</v>
      </c>
      <c r="N245" s="1266">
        <v>20000</v>
      </c>
      <c r="O245" s="163">
        <v>460</v>
      </c>
      <c r="P245" s="1266">
        <v>20000</v>
      </c>
      <c r="Q245" s="163">
        <v>460</v>
      </c>
      <c r="R245" s="1266">
        <v>20000</v>
      </c>
      <c r="S245" s="163">
        <v>460</v>
      </c>
      <c r="T245" s="1266">
        <v>20000</v>
      </c>
      <c r="U245" s="163">
        <v>460</v>
      </c>
      <c r="V245" s="1266">
        <v>20000</v>
      </c>
      <c r="W245" s="163"/>
      <c r="X245" s="1480"/>
      <c r="Y245" s="1257" t="s">
        <v>1148</v>
      </c>
    </row>
    <row r="246" spans="2:25" ht="38.25" x14ac:dyDescent="0.25">
      <c r="B246" s="229"/>
      <c r="C246" s="674"/>
      <c r="D246" s="674"/>
      <c r="E246" s="674"/>
      <c r="F246" s="674"/>
      <c r="G246" s="2019" t="s">
        <v>1060</v>
      </c>
      <c r="H246" s="173" t="s">
        <v>1061</v>
      </c>
      <c r="I246" s="1267" t="s">
        <v>19</v>
      </c>
      <c r="J246" s="1245">
        <v>18</v>
      </c>
      <c r="K246" s="1245">
        <v>20</v>
      </c>
      <c r="L246" s="1266">
        <v>60000</v>
      </c>
      <c r="M246" s="163">
        <v>22</v>
      </c>
      <c r="N246" s="1266">
        <v>65000</v>
      </c>
      <c r="O246" s="163">
        <v>24</v>
      </c>
      <c r="P246" s="1266">
        <v>70000</v>
      </c>
      <c r="Q246" s="163">
        <v>26</v>
      </c>
      <c r="R246" s="1266">
        <v>75000</v>
      </c>
      <c r="S246" s="163">
        <v>28</v>
      </c>
      <c r="T246" s="1266">
        <v>80000</v>
      </c>
      <c r="U246" s="163">
        <v>30</v>
      </c>
      <c r="V246" s="1266">
        <v>85000</v>
      </c>
      <c r="W246" s="163"/>
      <c r="X246" s="1480"/>
      <c r="Y246" s="1257" t="s">
        <v>1148</v>
      </c>
    </row>
    <row r="247" spans="2:25" ht="51" x14ac:dyDescent="0.25">
      <c r="B247" s="229"/>
      <c r="C247" s="674"/>
      <c r="D247" s="674"/>
      <c r="E247" s="674"/>
      <c r="F247" s="674"/>
      <c r="G247" s="2019"/>
      <c r="H247" s="173" t="s">
        <v>1062</v>
      </c>
      <c r="I247" s="1473" t="s">
        <v>1063</v>
      </c>
      <c r="J247" s="1245">
        <v>62</v>
      </c>
      <c r="K247" s="1245">
        <v>92</v>
      </c>
      <c r="L247" s="1266">
        <v>0</v>
      </c>
      <c r="M247" s="163">
        <v>100</v>
      </c>
      <c r="N247" s="1266">
        <v>0</v>
      </c>
      <c r="O247" s="163">
        <v>100</v>
      </c>
      <c r="P247" s="1266">
        <v>0</v>
      </c>
      <c r="Q247" s="163">
        <v>100</v>
      </c>
      <c r="R247" s="1266">
        <v>0</v>
      </c>
      <c r="S247" s="163">
        <v>100</v>
      </c>
      <c r="T247" s="1266">
        <v>0</v>
      </c>
      <c r="U247" s="163">
        <v>100</v>
      </c>
      <c r="V247" s="1266">
        <v>0</v>
      </c>
      <c r="W247" s="163"/>
      <c r="X247" s="1480"/>
      <c r="Y247" s="1257" t="s">
        <v>1148</v>
      </c>
    </row>
    <row r="248" spans="2:25" ht="76.5" x14ac:dyDescent="0.25">
      <c r="B248" s="229"/>
      <c r="C248" s="674"/>
      <c r="D248" s="674"/>
      <c r="E248" s="674"/>
      <c r="F248" s="674"/>
      <c r="G248" s="2019"/>
      <c r="H248" s="173" t="s">
        <v>1064</v>
      </c>
      <c r="I248" s="1473" t="s">
        <v>97</v>
      </c>
      <c r="J248" s="163">
        <v>2</v>
      </c>
      <c r="K248" s="163">
        <v>2</v>
      </c>
      <c r="L248" s="168">
        <v>6000</v>
      </c>
      <c r="M248" s="163">
        <v>3</v>
      </c>
      <c r="N248" s="168">
        <v>9000</v>
      </c>
      <c r="O248" s="163">
        <v>4</v>
      </c>
      <c r="P248" s="168">
        <v>12000</v>
      </c>
      <c r="Q248" s="163">
        <v>5</v>
      </c>
      <c r="R248" s="168">
        <v>15000</v>
      </c>
      <c r="S248" s="163">
        <v>6</v>
      </c>
      <c r="T248" s="168">
        <v>18000</v>
      </c>
      <c r="U248" s="163">
        <v>7</v>
      </c>
      <c r="V248" s="168">
        <v>21000</v>
      </c>
      <c r="W248" s="163"/>
      <c r="X248" s="173"/>
      <c r="Y248" s="1257" t="s">
        <v>1148</v>
      </c>
    </row>
    <row r="249" spans="2:25" ht="38.25" x14ac:dyDescent="0.25">
      <c r="B249" s="229"/>
      <c r="C249" s="674"/>
      <c r="D249" s="674"/>
      <c r="E249" s="674"/>
      <c r="F249" s="674"/>
      <c r="G249" s="2019"/>
      <c r="H249" s="173" t="s">
        <v>1065</v>
      </c>
      <c r="I249" s="1473" t="s">
        <v>355</v>
      </c>
      <c r="J249" s="163">
        <v>11</v>
      </c>
      <c r="K249" s="163">
        <v>11</v>
      </c>
      <c r="L249" s="168">
        <v>18000</v>
      </c>
      <c r="M249" s="163">
        <v>11</v>
      </c>
      <c r="N249" s="168">
        <v>18000</v>
      </c>
      <c r="O249" s="163">
        <v>11</v>
      </c>
      <c r="P249" s="168">
        <v>18000</v>
      </c>
      <c r="Q249" s="163">
        <v>11</v>
      </c>
      <c r="R249" s="168">
        <v>18000</v>
      </c>
      <c r="S249" s="163">
        <v>11</v>
      </c>
      <c r="T249" s="168">
        <v>18000</v>
      </c>
      <c r="U249" s="163">
        <v>11</v>
      </c>
      <c r="V249" s="168">
        <v>18000</v>
      </c>
      <c r="W249" s="163"/>
      <c r="X249" s="173"/>
      <c r="Y249" s="1257" t="s">
        <v>1148</v>
      </c>
    </row>
    <row r="250" spans="2:25" ht="25.5" x14ac:dyDescent="0.25">
      <c r="B250" s="229"/>
      <c r="C250" s="674"/>
      <c r="D250" s="674"/>
      <c r="E250" s="674"/>
      <c r="F250" s="674"/>
      <c r="G250" s="2019"/>
      <c r="H250" s="173" t="s">
        <v>1066</v>
      </c>
      <c r="I250" s="1473" t="s">
        <v>103</v>
      </c>
      <c r="J250" s="163" t="s">
        <v>1067</v>
      </c>
      <c r="K250" s="163">
        <v>6</v>
      </c>
      <c r="L250" s="168">
        <v>0</v>
      </c>
      <c r="M250" s="163">
        <v>6</v>
      </c>
      <c r="N250" s="168">
        <v>0</v>
      </c>
      <c r="O250" s="163">
        <v>6</v>
      </c>
      <c r="P250" s="168">
        <v>0</v>
      </c>
      <c r="Q250" s="163">
        <v>6</v>
      </c>
      <c r="R250" s="168">
        <v>0</v>
      </c>
      <c r="S250" s="163">
        <v>6</v>
      </c>
      <c r="T250" s="168">
        <v>0</v>
      </c>
      <c r="U250" s="163">
        <v>6</v>
      </c>
      <c r="V250" s="168">
        <v>0</v>
      </c>
      <c r="W250" s="163"/>
      <c r="X250" s="173"/>
      <c r="Y250" s="1257" t="s">
        <v>1148</v>
      </c>
    </row>
    <row r="251" spans="2:25" ht="165.75" x14ac:dyDescent="0.25">
      <c r="B251" s="229"/>
      <c r="C251" s="674"/>
      <c r="D251" s="674"/>
      <c r="E251" s="674"/>
      <c r="F251" s="674"/>
      <c r="G251" s="173" t="s">
        <v>1068</v>
      </c>
      <c r="H251" s="1476" t="s">
        <v>1069</v>
      </c>
      <c r="I251" s="1473" t="s">
        <v>19</v>
      </c>
      <c r="J251" s="163">
        <v>80</v>
      </c>
      <c r="K251" s="163">
        <v>80</v>
      </c>
      <c r="L251" s="168">
        <v>300000</v>
      </c>
      <c r="M251" s="163">
        <v>82</v>
      </c>
      <c r="N251" s="168">
        <v>300000</v>
      </c>
      <c r="O251" s="163">
        <v>85</v>
      </c>
      <c r="P251" s="168">
        <v>330000</v>
      </c>
      <c r="Q251" s="163">
        <v>88</v>
      </c>
      <c r="R251" s="168">
        <v>363000</v>
      </c>
      <c r="S251" s="163">
        <v>90</v>
      </c>
      <c r="T251" s="168">
        <v>399300</v>
      </c>
      <c r="U251" s="163">
        <v>92</v>
      </c>
      <c r="V251" s="168">
        <v>439230</v>
      </c>
      <c r="W251" s="163"/>
      <c r="X251" s="1473"/>
      <c r="Y251" s="1257" t="s">
        <v>1148</v>
      </c>
    </row>
    <row r="252" spans="2:25" ht="25.5" x14ac:dyDescent="0.25">
      <c r="B252" s="229"/>
      <c r="C252" s="674"/>
      <c r="D252" s="674"/>
      <c r="E252" s="674"/>
      <c r="F252" s="674"/>
      <c r="G252" s="673" t="s">
        <v>1071</v>
      </c>
      <c r="H252" s="1476" t="s">
        <v>1074</v>
      </c>
      <c r="I252" s="1473" t="s">
        <v>1075</v>
      </c>
      <c r="J252" s="163">
        <v>208</v>
      </c>
      <c r="K252" s="163">
        <v>220</v>
      </c>
      <c r="L252" s="168">
        <f>SUM(L253:L263)</f>
        <v>250000</v>
      </c>
      <c r="M252" s="163">
        <v>220</v>
      </c>
      <c r="N252" s="168">
        <f>SUM(N253:N263)</f>
        <v>345000</v>
      </c>
      <c r="O252" s="163">
        <v>218</v>
      </c>
      <c r="P252" s="168">
        <f>SUM(P253:P263)</f>
        <v>470000</v>
      </c>
      <c r="Q252" s="163">
        <v>218</v>
      </c>
      <c r="R252" s="168">
        <f>SUM(R253:R263)</f>
        <v>470000</v>
      </c>
      <c r="S252" s="163">
        <v>215</v>
      </c>
      <c r="T252" s="168">
        <f>SUM(T253:T263)</f>
        <v>470000</v>
      </c>
      <c r="U252" s="163">
        <v>215</v>
      </c>
      <c r="V252" s="168">
        <f>SUM(V253:V263)</f>
        <v>470000</v>
      </c>
      <c r="W252" s="163">
        <f>U252+S252+Q252+O252+M252+K252</f>
        <v>1306</v>
      </c>
      <c r="X252" s="173"/>
      <c r="Y252" s="1257" t="s">
        <v>1148</v>
      </c>
    </row>
    <row r="253" spans="2:25" ht="51" x14ac:dyDescent="0.25">
      <c r="B253" s="229"/>
      <c r="C253" s="674"/>
      <c r="D253" s="674"/>
      <c r="E253" s="674"/>
      <c r="F253" s="1478"/>
      <c r="G253" s="173" t="s">
        <v>1100</v>
      </c>
      <c r="H253" s="673" t="s">
        <v>1070</v>
      </c>
      <c r="I253" s="1473" t="s">
        <v>19</v>
      </c>
      <c r="J253" s="1480">
        <v>80</v>
      </c>
      <c r="K253" s="1480">
        <v>80</v>
      </c>
      <c r="L253" s="168">
        <v>250000</v>
      </c>
      <c r="M253" s="1480">
        <v>82</v>
      </c>
      <c r="N253" s="168">
        <v>345000</v>
      </c>
      <c r="O253" s="1480">
        <v>82</v>
      </c>
      <c r="P253" s="168">
        <v>470000</v>
      </c>
      <c r="Q253" s="1480">
        <v>83</v>
      </c>
      <c r="R253" s="168">
        <v>470000</v>
      </c>
      <c r="S253" s="1480">
        <v>83</v>
      </c>
      <c r="T253" s="168">
        <v>470000</v>
      </c>
      <c r="U253" s="1480">
        <v>95</v>
      </c>
      <c r="V253" s="168">
        <v>470000</v>
      </c>
      <c r="W253" s="1480">
        <v>93</v>
      </c>
      <c r="X253" s="173"/>
      <c r="Y253" s="1257" t="s">
        <v>1148</v>
      </c>
    </row>
    <row r="254" spans="2:25" ht="25.5" x14ac:dyDescent="0.25">
      <c r="B254" s="229"/>
      <c r="C254" s="674"/>
      <c r="D254" s="674"/>
      <c r="E254" s="674"/>
      <c r="F254" s="1478"/>
      <c r="G254" s="173"/>
      <c r="H254" s="1476" t="s">
        <v>1072</v>
      </c>
      <c r="I254" s="1473" t="s">
        <v>1073</v>
      </c>
      <c r="J254" s="1480">
        <v>60</v>
      </c>
      <c r="K254" s="1480">
        <v>125</v>
      </c>
      <c r="L254" s="2063"/>
      <c r="M254" s="1480">
        <v>115</v>
      </c>
      <c r="N254" s="2063"/>
      <c r="O254" s="1480">
        <v>110</v>
      </c>
      <c r="P254" s="2063"/>
      <c r="Q254" s="1480">
        <v>105</v>
      </c>
      <c r="R254" s="2063"/>
      <c r="S254" s="1480">
        <v>100</v>
      </c>
      <c r="T254" s="2063"/>
      <c r="U254" s="1480">
        <v>100</v>
      </c>
      <c r="V254" s="2063"/>
      <c r="W254" s="1480">
        <f t="shared" ref="W254:W265" si="5">S254</f>
        <v>100</v>
      </c>
      <c r="X254" s="173"/>
      <c r="Y254" s="1257" t="s">
        <v>1148</v>
      </c>
    </row>
    <row r="255" spans="2:25" ht="25.5" x14ac:dyDescent="0.25">
      <c r="B255" s="229"/>
      <c r="C255" s="674"/>
      <c r="D255" s="674"/>
      <c r="E255" s="674"/>
      <c r="F255" s="1478"/>
      <c r="G255" s="173"/>
      <c r="H255" s="1476" t="s">
        <v>1074</v>
      </c>
      <c r="I255" s="1473" t="s">
        <v>1075</v>
      </c>
      <c r="J255" s="1480">
        <v>208</v>
      </c>
      <c r="K255" s="1480">
        <v>220</v>
      </c>
      <c r="L255" s="2063"/>
      <c r="M255" s="1480">
        <v>220</v>
      </c>
      <c r="N255" s="2063"/>
      <c r="O255" s="1480">
        <v>218</v>
      </c>
      <c r="P255" s="2063"/>
      <c r="Q255" s="1480">
        <v>218</v>
      </c>
      <c r="R255" s="2063"/>
      <c r="S255" s="1480">
        <v>215</v>
      </c>
      <c r="T255" s="2063"/>
      <c r="U255" s="1480">
        <v>215</v>
      </c>
      <c r="V255" s="2063"/>
      <c r="W255" s="1480">
        <f t="shared" si="5"/>
        <v>215</v>
      </c>
      <c r="X255" s="173"/>
      <c r="Y255" s="1257" t="s">
        <v>1148</v>
      </c>
    </row>
    <row r="256" spans="2:25" ht="25.5" x14ac:dyDescent="0.25">
      <c r="B256" s="229"/>
      <c r="C256" s="674"/>
      <c r="D256" s="674"/>
      <c r="E256" s="674"/>
      <c r="F256" s="1478"/>
      <c r="G256" s="173"/>
      <c r="H256" s="1476" t="s">
        <v>1076</v>
      </c>
      <c r="I256" s="1473" t="s">
        <v>1077</v>
      </c>
      <c r="J256" s="1480" t="s">
        <v>1078</v>
      </c>
      <c r="K256" s="1480">
        <v>11</v>
      </c>
      <c r="L256" s="2063"/>
      <c r="M256" s="1480">
        <v>11</v>
      </c>
      <c r="N256" s="2063"/>
      <c r="O256" s="1480">
        <v>10.9</v>
      </c>
      <c r="P256" s="2063"/>
      <c r="Q256" s="1480">
        <v>10.9</v>
      </c>
      <c r="R256" s="2063"/>
      <c r="S256" s="1480">
        <v>10.75</v>
      </c>
      <c r="T256" s="2063"/>
      <c r="U256" s="1480">
        <v>10.75</v>
      </c>
      <c r="V256" s="2063"/>
      <c r="W256" s="1480">
        <f t="shared" si="5"/>
        <v>10.75</v>
      </c>
      <c r="X256" s="173"/>
      <c r="Y256" s="1257" t="s">
        <v>1148</v>
      </c>
    </row>
    <row r="257" spans="2:25" ht="63.75" x14ac:dyDescent="0.25">
      <c r="B257" s="229"/>
      <c r="C257" s="674"/>
      <c r="D257" s="674"/>
      <c r="E257" s="674"/>
      <c r="F257" s="1478"/>
      <c r="G257" s="173"/>
      <c r="H257" s="1476" t="s">
        <v>1079</v>
      </c>
      <c r="I257" s="1473" t="s">
        <v>19</v>
      </c>
      <c r="J257" s="1480" t="s">
        <v>1080</v>
      </c>
      <c r="K257" s="1480" t="s">
        <v>1081</v>
      </c>
      <c r="L257" s="2063"/>
      <c r="M257" s="1480" t="s">
        <v>1081</v>
      </c>
      <c r="N257" s="2063"/>
      <c r="O257" s="1480" t="s">
        <v>1082</v>
      </c>
      <c r="P257" s="2063"/>
      <c r="Q257" s="1480" t="s">
        <v>1082</v>
      </c>
      <c r="R257" s="2063"/>
      <c r="S257" s="1480" t="s">
        <v>1080</v>
      </c>
      <c r="T257" s="2063"/>
      <c r="U257" s="1480" t="s">
        <v>1080</v>
      </c>
      <c r="V257" s="2063"/>
      <c r="W257" s="1480" t="str">
        <f t="shared" si="5"/>
        <v>95</v>
      </c>
      <c r="X257" s="173"/>
      <c r="Y257" s="1257" t="s">
        <v>1148</v>
      </c>
    </row>
    <row r="258" spans="2:25" ht="38.25" x14ac:dyDescent="0.25">
      <c r="B258" s="229"/>
      <c r="C258" s="674"/>
      <c r="D258" s="674"/>
      <c r="E258" s="674"/>
      <c r="F258" s="1478"/>
      <c r="G258" s="173"/>
      <c r="H258" s="1476" t="s">
        <v>1083</v>
      </c>
      <c r="I258" s="1473" t="s">
        <v>19</v>
      </c>
      <c r="J258" s="1480" t="s">
        <v>1080</v>
      </c>
      <c r="K258" s="1480" t="s">
        <v>1081</v>
      </c>
      <c r="L258" s="2063"/>
      <c r="M258" s="1480" t="s">
        <v>1081</v>
      </c>
      <c r="N258" s="2063"/>
      <c r="O258" s="1480" t="s">
        <v>1082</v>
      </c>
      <c r="P258" s="2063"/>
      <c r="Q258" s="1480" t="s">
        <v>1082</v>
      </c>
      <c r="R258" s="2063"/>
      <c r="S258" s="1480" t="s">
        <v>1080</v>
      </c>
      <c r="T258" s="2063"/>
      <c r="U258" s="1480" t="s">
        <v>1080</v>
      </c>
      <c r="V258" s="2063"/>
      <c r="W258" s="1480" t="str">
        <f t="shared" si="5"/>
        <v>95</v>
      </c>
      <c r="X258" s="173"/>
      <c r="Y258" s="1257" t="s">
        <v>1148</v>
      </c>
    </row>
    <row r="259" spans="2:25" ht="38.25" x14ac:dyDescent="0.25">
      <c r="B259" s="229"/>
      <c r="C259" s="674"/>
      <c r="D259" s="674"/>
      <c r="E259" s="674"/>
      <c r="F259" s="1478"/>
      <c r="G259" s="173"/>
      <c r="H259" s="1476" t="s">
        <v>1084</v>
      </c>
      <c r="I259" s="1473" t="s">
        <v>19</v>
      </c>
      <c r="J259" s="1480" t="s">
        <v>1085</v>
      </c>
      <c r="K259" s="1480">
        <v>80</v>
      </c>
      <c r="L259" s="2063"/>
      <c r="M259" s="1480">
        <v>82</v>
      </c>
      <c r="N259" s="2063"/>
      <c r="O259" s="1480" t="s">
        <v>1086</v>
      </c>
      <c r="P259" s="2063"/>
      <c r="Q259" s="1480" t="s">
        <v>1087</v>
      </c>
      <c r="R259" s="2063"/>
      <c r="S259" s="1480" t="s">
        <v>1087</v>
      </c>
      <c r="T259" s="2063"/>
      <c r="U259" s="1480" t="s">
        <v>1087</v>
      </c>
      <c r="V259" s="2063"/>
      <c r="W259" s="1480" t="str">
        <f t="shared" si="5"/>
        <v>83</v>
      </c>
      <c r="X259" s="173"/>
      <c r="Y259" s="1257" t="s">
        <v>1148</v>
      </c>
    </row>
    <row r="260" spans="2:25" ht="38.25" x14ac:dyDescent="0.25">
      <c r="B260" s="229"/>
      <c r="C260" s="674"/>
      <c r="D260" s="674"/>
      <c r="E260" s="674"/>
      <c r="F260" s="1478"/>
      <c r="G260" s="173"/>
      <c r="H260" s="1476" t="s">
        <v>1088</v>
      </c>
      <c r="I260" s="1473" t="s">
        <v>19</v>
      </c>
      <c r="J260" s="1480" t="s">
        <v>1081</v>
      </c>
      <c r="K260" s="1480" t="s">
        <v>1081</v>
      </c>
      <c r="L260" s="2063"/>
      <c r="M260" s="1480" t="s">
        <v>1081</v>
      </c>
      <c r="N260" s="2063"/>
      <c r="O260" s="1480" t="s">
        <v>1089</v>
      </c>
      <c r="P260" s="2063"/>
      <c r="Q260" s="1480" t="s">
        <v>1089</v>
      </c>
      <c r="R260" s="2063"/>
      <c r="S260" s="1480" t="s">
        <v>1090</v>
      </c>
      <c r="T260" s="2063"/>
      <c r="U260" s="1480" t="s">
        <v>1090</v>
      </c>
      <c r="V260" s="2063"/>
      <c r="W260" s="1480" t="str">
        <f t="shared" si="5"/>
        <v>93</v>
      </c>
      <c r="X260" s="173"/>
      <c r="Y260" s="1257" t="s">
        <v>1148</v>
      </c>
    </row>
    <row r="261" spans="2:25" ht="51" x14ac:dyDescent="0.25">
      <c r="B261" s="229"/>
      <c r="C261" s="674"/>
      <c r="D261" s="674"/>
      <c r="E261" s="674"/>
      <c r="F261" s="1478"/>
      <c r="G261" s="173"/>
      <c r="H261" s="1476" t="s">
        <v>1091</v>
      </c>
      <c r="I261" s="1473" t="s">
        <v>19</v>
      </c>
      <c r="J261" s="1480" t="s">
        <v>1085</v>
      </c>
      <c r="K261" s="1480" t="s">
        <v>1092</v>
      </c>
      <c r="L261" s="2063"/>
      <c r="M261" s="1480" t="s">
        <v>1092</v>
      </c>
      <c r="N261" s="2063"/>
      <c r="O261" s="1480" t="s">
        <v>1086</v>
      </c>
      <c r="P261" s="2063"/>
      <c r="Q261" s="1480" t="s">
        <v>1087</v>
      </c>
      <c r="R261" s="2063"/>
      <c r="S261" s="1480" t="s">
        <v>1087</v>
      </c>
      <c r="T261" s="2063"/>
      <c r="U261" s="1480" t="s">
        <v>1087</v>
      </c>
      <c r="V261" s="2063"/>
      <c r="W261" s="1480" t="str">
        <f t="shared" si="5"/>
        <v>83</v>
      </c>
      <c r="X261" s="173"/>
      <c r="Y261" s="1257" t="s">
        <v>1148</v>
      </c>
    </row>
    <row r="262" spans="2:25" ht="51" x14ac:dyDescent="0.25">
      <c r="B262" s="229"/>
      <c r="C262" s="674"/>
      <c r="D262" s="674"/>
      <c r="E262" s="674"/>
      <c r="F262" s="1478"/>
      <c r="G262" s="173"/>
      <c r="H262" s="1476" t="s">
        <v>1093</v>
      </c>
      <c r="I262" s="1473" t="s">
        <v>19</v>
      </c>
      <c r="J262" s="1480" t="s">
        <v>1081</v>
      </c>
      <c r="K262" s="1480" t="s">
        <v>1081</v>
      </c>
      <c r="L262" s="2063"/>
      <c r="M262" s="1480" t="s">
        <v>1082</v>
      </c>
      <c r="N262" s="2063"/>
      <c r="O262" s="1480" t="s">
        <v>1082</v>
      </c>
      <c r="P262" s="2063"/>
      <c r="Q262" s="1480" t="s">
        <v>1090</v>
      </c>
      <c r="R262" s="2063"/>
      <c r="S262" s="1480" t="s">
        <v>1090</v>
      </c>
      <c r="T262" s="2063"/>
      <c r="U262" s="1480" t="s">
        <v>1090</v>
      </c>
      <c r="V262" s="2063"/>
      <c r="W262" s="1480" t="str">
        <f t="shared" si="5"/>
        <v>93</v>
      </c>
      <c r="X262" s="173"/>
      <c r="Y262" s="1257" t="s">
        <v>1148</v>
      </c>
    </row>
    <row r="263" spans="2:25" ht="63.75" x14ac:dyDescent="0.25">
      <c r="B263" s="229"/>
      <c r="C263" s="674"/>
      <c r="D263" s="674"/>
      <c r="E263" s="674"/>
      <c r="F263" s="1478"/>
      <c r="G263" s="173"/>
      <c r="H263" s="1476" t="s">
        <v>1094</v>
      </c>
      <c r="I263" s="1473" t="s">
        <v>19</v>
      </c>
      <c r="J263" s="1480" t="s">
        <v>1082</v>
      </c>
      <c r="K263" s="1480" t="s">
        <v>1090</v>
      </c>
      <c r="L263" s="2063"/>
      <c r="M263" s="1480" t="s">
        <v>1090</v>
      </c>
      <c r="N263" s="2063"/>
      <c r="O263" s="1480" t="s">
        <v>1095</v>
      </c>
      <c r="P263" s="2063"/>
      <c r="Q263" s="1480" t="s">
        <v>1095</v>
      </c>
      <c r="R263" s="2063"/>
      <c r="S263" s="1480" t="s">
        <v>1080</v>
      </c>
      <c r="T263" s="2063"/>
      <c r="U263" s="1480" t="s">
        <v>1080</v>
      </c>
      <c r="V263" s="2063"/>
      <c r="W263" s="1480" t="str">
        <f t="shared" si="5"/>
        <v>95</v>
      </c>
      <c r="X263" s="173"/>
      <c r="Y263" s="1257" t="s">
        <v>1148</v>
      </c>
    </row>
    <row r="264" spans="2:25" ht="51" x14ac:dyDescent="0.25">
      <c r="B264" s="229"/>
      <c r="C264" s="674"/>
      <c r="D264" s="674"/>
      <c r="E264" s="674"/>
      <c r="F264" s="1478"/>
      <c r="G264" s="173"/>
      <c r="H264" s="1476" t="s">
        <v>1096</v>
      </c>
      <c r="I264" s="1473" t="s">
        <v>19</v>
      </c>
      <c r="J264" s="1480" t="s">
        <v>1097</v>
      </c>
      <c r="K264" s="1480" t="s">
        <v>1085</v>
      </c>
      <c r="L264" s="2063"/>
      <c r="M264" s="1480" t="s">
        <v>1085</v>
      </c>
      <c r="N264" s="2063"/>
      <c r="O264" s="1480" t="s">
        <v>1086</v>
      </c>
      <c r="P264" s="2063"/>
      <c r="Q264" s="1480" t="s">
        <v>1086</v>
      </c>
      <c r="R264" s="2063"/>
      <c r="S264" s="1480" t="s">
        <v>1098</v>
      </c>
      <c r="T264" s="2063"/>
      <c r="U264" s="1480" t="s">
        <v>1098</v>
      </c>
      <c r="V264" s="2063"/>
      <c r="W264" s="1480" t="str">
        <f t="shared" si="5"/>
        <v>85</v>
      </c>
      <c r="X264" s="173"/>
      <c r="Y264" s="1257" t="s">
        <v>1148</v>
      </c>
    </row>
    <row r="265" spans="2:25" ht="51" x14ac:dyDescent="0.25">
      <c r="B265" s="229"/>
      <c r="C265" s="674"/>
      <c r="D265" s="674"/>
      <c r="E265" s="674"/>
      <c r="F265" s="1478"/>
      <c r="G265" s="173"/>
      <c r="H265" s="1476" t="s">
        <v>1099</v>
      </c>
      <c r="I265" s="1473" t="s">
        <v>19</v>
      </c>
      <c r="J265" s="1480" t="s">
        <v>1085</v>
      </c>
      <c r="K265" s="1480" t="s">
        <v>1092</v>
      </c>
      <c r="L265" s="2063"/>
      <c r="M265" s="1480" t="s">
        <v>1092</v>
      </c>
      <c r="N265" s="2063"/>
      <c r="O265" s="1480" t="s">
        <v>1086</v>
      </c>
      <c r="P265" s="2063"/>
      <c r="Q265" s="1480" t="s">
        <v>1087</v>
      </c>
      <c r="R265" s="2063"/>
      <c r="S265" s="1480" t="s">
        <v>1087</v>
      </c>
      <c r="T265" s="2063"/>
      <c r="U265" s="1480" t="s">
        <v>1087</v>
      </c>
      <c r="V265" s="2063"/>
      <c r="W265" s="1480" t="str">
        <f t="shared" si="5"/>
        <v>83</v>
      </c>
      <c r="X265" s="173"/>
      <c r="Y265" s="1257" t="s">
        <v>1148</v>
      </c>
    </row>
    <row r="266" spans="2:25" ht="76.5" x14ac:dyDescent="0.25">
      <c r="B266" s="229"/>
      <c r="C266" s="674"/>
      <c r="D266" s="674"/>
      <c r="E266" s="674"/>
      <c r="F266" s="674"/>
      <c r="G266" s="2019" t="s">
        <v>1101</v>
      </c>
      <c r="H266" s="173" t="s">
        <v>3116</v>
      </c>
      <c r="I266" s="1473" t="s">
        <v>19</v>
      </c>
      <c r="J266" s="163">
        <v>49</v>
      </c>
      <c r="K266" s="163">
        <v>52.5</v>
      </c>
      <c r="L266" s="1520">
        <f>SUM(L269)</f>
        <v>100000</v>
      </c>
      <c r="M266" s="163">
        <v>57.5</v>
      </c>
      <c r="N266" s="1520">
        <f>SUM(N269)</f>
        <v>175000</v>
      </c>
      <c r="O266" s="163">
        <v>62.5</v>
      </c>
      <c r="P266" s="1520">
        <f>SUM(P269)</f>
        <v>200000</v>
      </c>
      <c r="Q266" s="163">
        <v>67.5</v>
      </c>
      <c r="R266" s="1520">
        <f>SUM(R269)</f>
        <v>250000</v>
      </c>
      <c r="S266" s="163">
        <v>67.5</v>
      </c>
      <c r="T266" s="1520">
        <f>SUM(T269)</f>
        <v>300000</v>
      </c>
      <c r="U266" s="163">
        <v>67.5</v>
      </c>
      <c r="V266" s="1520">
        <f>SUM(V269)</f>
        <v>300000</v>
      </c>
      <c r="W266" s="163">
        <v>67.5</v>
      </c>
      <c r="X266" s="1473"/>
      <c r="Y266" s="1257" t="s">
        <v>1148</v>
      </c>
    </row>
    <row r="267" spans="2:25" ht="63.75" x14ac:dyDescent="0.25">
      <c r="B267" s="229"/>
      <c r="C267" s="674"/>
      <c r="D267" s="674"/>
      <c r="E267" s="674"/>
      <c r="F267" s="674"/>
      <c r="G267" s="2019"/>
      <c r="H267" s="173" t="s">
        <v>1102</v>
      </c>
      <c r="I267" s="1473" t="s">
        <v>19</v>
      </c>
      <c r="J267" s="163">
        <v>83</v>
      </c>
      <c r="K267" s="163">
        <v>85</v>
      </c>
      <c r="L267" s="1521">
        <f>L268</f>
        <v>1700000</v>
      </c>
      <c r="M267" s="163">
        <v>90</v>
      </c>
      <c r="N267" s="1521">
        <f>N268</f>
        <v>2000000</v>
      </c>
      <c r="O267" s="163">
        <v>90</v>
      </c>
      <c r="P267" s="1521">
        <f>P268</f>
        <v>2200000</v>
      </c>
      <c r="Q267" s="163">
        <v>100</v>
      </c>
      <c r="R267" s="1521">
        <f>R268</f>
        <v>2420000</v>
      </c>
      <c r="S267" s="163">
        <v>100</v>
      </c>
      <c r="T267" s="1521">
        <f>T268</f>
        <v>2662000</v>
      </c>
      <c r="U267" s="163">
        <v>100</v>
      </c>
      <c r="V267" s="1521">
        <f>V268</f>
        <v>2928000</v>
      </c>
      <c r="W267" s="163">
        <f>S267</f>
        <v>100</v>
      </c>
      <c r="X267" s="1473"/>
      <c r="Y267" s="1257" t="s">
        <v>1148</v>
      </c>
    </row>
    <row r="268" spans="2:25" ht="63.75" x14ac:dyDescent="0.25">
      <c r="B268" s="229"/>
      <c r="C268" s="674"/>
      <c r="D268" s="674"/>
      <c r="E268" s="674"/>
      <c r="F268" s="674"/>
      <c r="G268" s="173" t="s">
        <v>1103</v>
      </c>
      <c r="H268" s="1476" t="s">
        <v>1104</v>
      </c>
      <c r="I268" s="1473" t="s">
        <v>100</v>
      </c>
      <c r="J268" s="163">
        <v>325</v>
      </c>
      <c r="K268" s="163">
        <v>325</v>
      </c>
      <c r="L268" s="168">
        <v>1700000</v>
      </c>
      <c r="M268" s="163">
        <v>350</v>
      </c>
      <c r="N268" s="168">
        <v>2000000</v>
      </c>
      <c r="O268" s="163">
        <v>400</v>
      </c>
      <c r="P268" s="168">
        <v>2200000</v>
      </c>
      <c r="Q268" s="163">
        <v>450</v>
      </c>
      <c r="R268" s="168">
        <v>2420000</v>
      </c>
      <c r="S268" s="163">
        <v>500</v>
      </c>
      <c r="T268" s="168">
        <v>2662000</v>
      </c>
      <c r="U268" s="163">
        <v>550</v>
      </c>
      <c r="V268" s="168">
        <v>2928000</v>
      </c>
      <c r="W268" s="163">
        <v>550</v>
      </c>
      <c r="X268" s="1267"/>
      <c r="Y268" s="1257" t="s">
        <v>1148</v>
      </c>
    </row>
    <row r="269" spans="2:25" ht="76.5" x14ac:dyDescent="0.25">
      <c r="B269" s="229"/>
      <c r="C269" s="674"/>
      <c r="D269" s="674"/>
      <c r="E269" s="674"/>
      <c r="F269" s="674"/>
      <c r="G269" s="173" t="s">
        <v>1105</v>
      </c>
      <c r="H269" s="1476" t="s">
        <v>1106</v>
      </c>
      <c r="I269" s="1473" t="s">
        <v>100</v>
      </c>
      <c r="J269" s="163">
        <v>25</v>
      </c>
      <c r="K269" s="163">
        <v>25</v>
      </c>
      <c r="L269" s="168">
        <v>100000</v>
      </c>
      <c r="M269" s="163">
        <v>100</v>
      </c>
      <c r="N269" s="168">
        <v>175000</v>
      </c>
      <c r="O269" s="163">
        <v>100</v>
      </c>
      <c r="P269" s="168">
        <v>200000</v>
      </c>
      <c r="Q269" s="163">
        <v>225</v>
      </c>
      <c r="R269" s="168">
        <v>250000</v>
      </c>
      <c r="S269" s="163">
        <v>100</v>
      </c>
      <c r="T269" s="168">
        <v>300000</v>
      </c>
      <c r="U269" s="163">
        <v>100</v>
      </c>
      <c r="V269" s="168">
        <v>300000</v>
      </c>
      <c r="W269" s="163">
        <v>100</v>
      </c>
      <c r="X269" s="1473"/>
      <c r="Y269" s="1257" t="s">
        <v>1148</v>
      </c>
    </row>
    <row r="270" spans="2:25" ht="38.25" x14ac:dyDescent="0.25">
      <c r="B270" s="229"/>
      <c r="C270" s="674"/>
      <c r="D270" s="674"/>
      <c r="E270" s="674"/>
      <c r="F270" s="674"/>
      <c r="G270" s="173"/>
      <c r="H270" s="1476" t="s">
        <v>1107</v>
      </c>
      <c r="I270" s="1473" t="s">
        <v>100</v>
      </c>
      <c r="J270" s="163">
        <v>21843</v>
      </c>
      <c r="K270" s="163">
        <v>21842</v>
      </c>
      <c r="L270" s="168">
        <v>0</v>
      </c>
      <c r="M270" s="163">
        <v>22000</v>
      </c>
      <c r="N270" s="168">
        <v>0</v>
      </c>
      <c r="O270" s="163">
        <v>23000</v>
      </c>
      <c r="P270" s="168">
        <v>0</v>
      </c>
      <c r="Q270" s="163">
        <v>24000</v>
      </c>
      <c r="R270" s="168">
        <v>0</v>
      </c>
      <c r="S270" s="163">
        <v>25000</v>
      </c>
      <c r="T270" s="168">
        <v>0</v>
      </c>
      <c r="U270" s="163">
        <v>26000</v>
      </c>
      <c r="V270" s="168">
        <v>0</v>
      </c>
      <c r="W270" s="163">
        <v>26000</v>
      </c>
      <c r="X270" s="1473"/>
      <c r="Y270" s="1257" t="s">
        <v>1148</v>
      </c>
    </row>
    <row r="271" spans="2:25" ht="38.25" x14ac:dyDescent="0.25">
      <c r="B271" s="229"/>
      <c r="C271" s="674"/>
      <c r="D271" s="674"/>
      <c r="E271" s="674"/>
      <c r="F271" s="674"/>
      <c r="G271" s="173"/>
      <c r="H271" s="1476" t="s">
        <v>1108</v>
      </c>
      <c r="I271" s="1473" t="s">
        <v>100</v>
      </c>
      <c r="J271" s="163">
        <v>11500</v>
      </c>
      <c r="K271" s="163">
        <v>11500</v>
      </c>
      <c r="L271" s="168">
        <v>0</v>
      </c>
      <c r="M271" s="163">
        <v>13000</v>
      </c>
      <c r="N271" s="168">
        <v>0</v>
      </c>
      <c r="O271" s="163">
        <v>14000</v>
      </c>
      <c r="P271" s="168">
        <v>0</v>
      </c>
      <c r="Q271" s="163">
        <v>16000</v>
      </c>
      <c r="R271" s="168">
        <v>0</v>
      </c>
      <c r="S271" s="163">
        <v>17000</v>
      </c>
      <c r="T271" s="168">
        <v>0</v>
      </c>
      <c r="U271" s="163">
        <v>18000</v>
      </c>
      <c r="V271" s="168">
        <v>0</v>
      </c>
      <c r="W271" s="163">
        <v>18000</v>
      </c>
      <c r="X271" s="1473"/>
      <c r="Y271" s="1257" t="s">
        <v>1148</v>
      </c>
    </row>
    <row r="272" spans="2:25" ht="25.5" x14ac:dyDescent="0.25">
      <c r="B272" s="229"/>
      <c r="C272" s="674"/>
      <c r="D272" s="674"/>
      <c r="E272" s="674"/>
      <c r="F272" s="674"/>
      <c r="G272" s="173"/>
      <c r="H272" s="1476" t="s">
        <v>1109</v>
      </c>
      <c r="I272" s="1473" t="s">
        <v>427</v>
      </c>
      <c r="J272" s="163">
        <v>568</v>
      </c>
      <c r="K272" s="163">
        <v>568</v>
      </c>
      <c r="L272" s="168">
        <v>0</v>
      </c>
      <c r="M272" s="163">
        <v>650</v>
      </c>
      <c r="N272" s="168">
        <v>0</v>
      </c>
      <c r="O272" s="163">
        <v>650</v>
      </c>
      <c r="P272" s="168">
        <v>0</v>
      </c>
      <c r="Q272" s="163">
        <v>700</v>
      </c>
      <c r="R272" s="168">
        <v>0</v>
      </c>
      <c r="S272" s="163">
        <v>750</v>
      </c>
      <c r="T272" s="168">
        <v>0</v>
      </c>
      <c r="U272" s="163">
        <v>750</v>
      </c>
      <c r="V272" s="168">
        <v>0</v>
      </c>
      <c r="W272" s="163">
        <v>750</v>
      </c>
      <c r="X272" s="1473"/>
      <c r="Y272" s="1257" t="s">
        <v>1148</v>
      </c>
    </row>
    <row r="273" spans="2:25" x14ac:dyDescent="0.25">
      <c r="B273" s="1485"/>
      <c r="C273" s="1476"/>
      <c r="D273" s="1476"/>
      <c r="E273" s="1476"/>
      <c r="F273" s="173"/>
      <c r="G273" s="173"/>
      <c r="H273" s="1476"/>
      <c r="I273" s="1473"/>
      <c r="J273" s="163"/>
      <c r="K273" s="163"/>
      <c r="L273" s="168">
        <v>0</v>
      </c>
      <c r="M273" s="163"/>
      <c r="N273" s="168">
        <v>0</v>
      </c>
      <c r="O273" s="163"/>
      <c r="P273" s="168">
        <v>0</v>
      </c>
      <c r="Q273" s="163"/>
      <c r="R273" s="168">
        <v>0</v>
      </c>
      <c r="S273" s="163"/>
      <c r="T273" s="168">
        <v>0</v>
      </c>
      <c r="U273" s="163"/>
      <c r="V273" s="168">
        <v>0</v>
      </c>
      <c r="W273" s="163"/>
      <c r="X273" s="1473"/>
      <c r="Y273" s="1257" t="s">
        <v>1148</v>
      </c>
    </row>
    <row r="274" spans="2:25" ht="63.75" customHeight="1" x14ac:dyDescent="0.25">
      <c r="B274" s="2011" t="s">
        <v>3842</v>
      </c>
      <c r="C274" s="2013" t="s">
        <v>3887</v>
      </c>
      <c r="D274" s="673" t="s">
        <v>3880</v>
      </c>
      <c r="E274" s="2013" t="s">
        <v>14</v>
      </c>
      <c r="F274" s="2013" t="s">
        <v>3119</v>
      </c>
      <c r="G274" s="1799" t="s">
        <v>3120</v>
      </c>
      <c r="H274" s="1476"/>
      <c r="I274" s="1473" t="s">
        <v>19</v>
      </c>
      <c r="J274" s="1245">
        <v>80</v>
      </c>
      <c r="K274" s="1245">
        <v>87</v>
      </c>
      <c r="L274" s="885"/>
      <c r="M274" s="1246">
        <v>87.5</v>
      </c>
      <c r="N274" s="885"/>
      <c r="O274" s="163">
        <v>88</v>
      </c>
      <c r="P274" s="885"/>
      <c r="Q274" s="1246">
        <v>88.5</v>
      </c>
      <c r="R274" s="1246"/>
      <c r="S274" s="163">
        <v>90</v>
      </c>
      <c r="T274" s="1246"/>
      <c r="U274" s="1246">
        <v>90</v>
      </c>
      <c r="V274" s="1246"/>
      <c r="W274" s="1246">
        <v>90</v>
      </c>
      <c r="X274" s="173"/>
      <c r="Y274" s="1257" t="s">
        <v>1148</v>
      </c>
    </row>
    <row r="275" spans="2:25" ht="76.5" x14ac:dyDescent="0.25">
      <c r="B275" s="2012"/>
      <c r="C275" s="2014"/>
      <c r="D275" s="674"/>
      <c r="E275" s="2014"/>
      <c r="F275" s="2014"/>
      <c r="G275" s="1476" t="s">
        <v>1110</v>
      </c>
      <c r="H275" s="1476" t="s">
        <v>3117</v>
      </c>
      <c r="I275" s="1473" t="s">
        <v>3118</v>
      </c>
      <c r="J275" s="163">
        <f>0.8*35</f>
        <v>28</v>
      </c>
      <c r="K275" s="163">
        <v>35</v>
      </c>
      <c r="L275" s="168">
        <f>SUM(L276:L278)</f>
        <v>2479330</v>
      </c>
      <c r="M275" s="163">
        <v>35</v>
      </c>
      <c r="N275" s="168">
        <f>SUM(N276:N278)</f>
        <v>3425000</v>
      </c>
      <c r="O275" s="163">
        <v>35</v>
      </c>
      <c r="P275" s="168">
        <f>SUM(P276:P278)</f>
        <v>3825000</v>
      </c>
      <c r="Q275" s="163">
        <v>35</v>
      </c>
      <c r="R275" s="168">
        <f>SUM(R276:R278)</f>
        <v>4325000</v>
      </c>
      <c r="S275" s="163">
        <v>35</v>
      </c>
      <c r="T275" s="168">
        <f>SUM(T276:T278)</f>
        <v>4725000</v>
      </c>
      <c r="U275" s="163">
        <v>35</v>
      </c>
      <c r="V275" s="168">
        <f>SUM(V276:V278)</f>
        <v>4725000</v>
      </c>
      <c r="W275" s="163">
        <f>S275</f>
        <v>35</v>
      </c>
      <c r="X275" s="1267" t="s">
        <v>1111</v>
      </c>
      <c r="Y275" s="1257" t="s">
        <v>1148</v>
      </c>
    </row>
    <row r="276" spans="2:25" ht="63.75" x14ac:dyDescent="0.25">
      <c r="B276" s="2012"/>
      <c r="C276" s="674"/>
      <c r="D276" s="674"/>
      <c r="E276" s="674"/>
      <c r="F276" s="2044"/>
      <c r="G276" s="1476" t="s">
        <v>1112</v>
      </c>
      <c r="H276" s="1476" t="s">
        <v>1113</v>
      </c>
      <c r="I276" s="1473" t="s">
        <v>69</v>
      </c>
      <c r="J276" s="163"/>
      <c r="K276" s="163">
        <v>1</v>
      </c>
      <c r="L276" s="168">
        <v>2354330</v>
      </c>
      <c r="M276" s="163">
        <v>1</v>
      </c>
      <c r="N276" s="168">
        <v>3000000</v>
      </c>
      <c r="O276" s="163">
        <v>1</v>
      </c>
      <c r="P276" s="168">
        <v>3300000</v>
      </c>
      <c r="Q276" s="163">
        <v>1</v>
      </c>
      <c r="R276" s="168">
        <v>3700000</v>
      </c>
      <c r="S276" s="163">
        <v>1</v>
      </c>
      <c r="T276" s="168">
        <v>4000000</v>
      </c>
      <c r="U276" s="163">
        <v>1</v>
      </c>
      <c r="V276" s="168">
        <v>4000000</v>
      </c>
      <c r="W276" s="163"/>
      <c r="X276" s="1473"/>
      <c r="Y276" s="1257" t="s">
        <v>1148</v>
      </c>
    </row>
    <row r="277" spans="2:25" ht="51" x14ac:dyDescent="0.25">
      <c r="B277" s="2012"/>
      <c r="C277" s="674"/>
      <c r="D277" s="674"/>
      <c r="E277" s="674"/>
      <c r="F277" s="674"/>
      <c r="G277" s="1476" t="s">
        <v>1114</v>
      </c>
      <c r="H277" s="1476" t="s">
        <v>1115</v>
      </c>
      <c r="I277" s="1473" t="s">
        <v>69</v>
      </c>
      <c r="J277" s="163"/>
      <c r="K277" s="163">
        <v>1</v>
      </c>
      <c r="L277" s="168">
        <v>100000</v>
      </c>
      <c r="M277" s="163">
        <v>1</v>
      </c>
      <c r="N277" s="168">
        <v>400000</v>
      </c>
      <c r="O277" s="163">
        <v>1</v>
      </c>
      <c r="P277" s="168">
        <v>500000</v>
      </c>
      <c r="Q277" s="163">
        <v>1</v>
      </c>
      <c r="R277" s="168">
        <v>600000</v>
      </c>
      <c r="S277" s="163">
        <v>1</v>
      </c>
      <c r="T277" s="168">
        <v>700000</v>
      </c>
      <c r="U277" s="163">
        <v>1</v>
      </c>
      <c r="V277" s="168">
        <v>700000</v>
      </c>
      <c r="W277" s="163"/>
      <c r="X277" s="1473"/>
      <c r="Y277" s="1257" t="s">
        <v>1148</v>
      </c>
    </row>
    <row r="278" spans="2:25" ht="114.75" x14ac:dyDescent="0.25">
      <c r="B278" s="229"/>
      <c r="C278" s="674"/>
      <c r="D278" s="674"/>
      <c r="E278" s="674"/>
      <c r="F278" s="674"/>
      <c r="G278" s="173" t="s">
        <v>1116</v>
      </c>
      <c r="H278" s="1476" t="s">
        <v>1117</v>
      </c>
      <c r="I278" s="1473" t="s">
        <v>69</v>
      </c>
      <c r="J278" s="163"/>
      <c r="K278" s="163">
        <v>1</v>
      </c>
      <c r="L278" s="168">
        <v>25000</v>
      </c>
      <c r="M278" s="163">
        <v>1</v>
      </c>
      <c r="N278" s="168">
        <v>25000</v>
      </c>
      <c r="O278" s="163">
        <v>1</v>
      </c>
      <c r="P278" s="168">
        <v>25000</v>
      </c>
      <c r="Q278" s="163">
        <v>1</v>
      </c>
      <c r="R278" s="168">
        <v>25000</v>
      </c>
      <c r="S278" s="163">
        <v>1</v>
      </c>
      <c r="T278" s="168">
        <v>25000</v>
      </c>
      <c r="U278" s="163">
        <v>1</v>
      </c>
      <c r="V278" s="168">
        <v>25000</v>
      </c>
      <c r="W278" s="163"/>
      <c r="X278" s="1473"/>
      <c r="Y278" s="1257" t="s">
        <v>1148</v>
      </c>
    </row>
    <row r="279" spans="2:25" ht="51" x14ac:dyDescent="0.25">
      <c r="B279" s="229"/>
      <c r="C279" s="674"/>
      <c r="D279" s="674"/>
      <c r="E279" s="674"/>
      <c r="F279" s="674"/>
      <c r="G279" s="1476" t="s">
        <v>1118</v>
      </c>
      <c r="H279" s="1476" t="s">
        <v>1119</v>
      </c>
      <c r="I279" s="1473" t="s">
        <v>275</v>
      </c>
      <c r="J279" s="163"/>
      <c r="K279" s="163">
        <v>2</v>
      </c>
      <c r="L279" s="168">
        <f>SUM(L280:L282)</f>
        <v>340000</v>
      </c>
      <c r="M279" s="163">
        <v>2</v>
      </c>
      <c r="N279" s="168">
        <f>SUM(N280:N282)</f>
        <v>540000</v>
      </c>
      <c r="O279" s="163">
        <v>2</v>
      </c>
      <c r="P279" s="168">
        <f>SUM(P280:P282)</f>
        <v>640000</v>
      </c>
      <c r="Q279" s="163">
        <v>2</v>
      </c>
      <c r="R279" s="168">
        <f>SUM(R280:R282)</f>
        <v>740000</v>
      </c>
      <c r="S279" s="163">
        <v>2</v>
      </c>
      <c r="T279" s="168">
        <f>SUM(T280:T282)</f>
        <v>840000</v>
      </c>
      <c r="U279" s="163">
        <v>2</v>
      </c>
      <c r="V279" s="168">
        <f>SUM(V280:V282)</f>
        <v>840000</v>
      </c>
      <c r="W279" s="163">
        <f>S279</f>
        <v>2</v>
      </c>
      <c r="X279" s="1473"/>
      <c r="Y279" s="1257" t="s">
        <v>1148</v>
      </c>
    </row>
    <row r="280" spans="2:25" ht="63.75" x14ac:dyDescent="0.25">
      <c r="B280" s="229"/>
      <c r="C280" s="674"/>
      <c r="D280" s="674"/>
      <c r="E280" s="674"/>
      <c r="F280" s="674"/>
      <c r="G280" s="1476" t="s">
        <v>1120</v>
      </c>
      <c r="H280" s="1476" t="s">
        <v>1121</v>
      </c>
      <c r="I280" s="1473" t="s">
        <v>103</v>
      </c>
      <c r="J280" s="163">
        <v>2</v>
      </c>
      <c r="K280" s="163">
        <v>2</v>
      </c>
      <c r="L280" s="168">
        <v>40000</v>
      </c>
      <c r="M280" s="163">
        <v>2</v>
      </c>
      <c r="N280" s="168">
        <v>40000</v>
      </c>
      <c r="O280" s="163">
        <v>2</v>
      </c>
      <c r="P280" s="168">
        <v>40000</v>
      </c>
      <c r="Q280" s="163">
        <v>2</v>
      </c>
      <c r="R280" s="168">
        <v>40000</v>
      </c>
      <c r="S280" s="163">
        <v>2</v>
      </c>
      <c r="T280" s="168">
        <v>40000</v>
      </c>
      <c r="U280" s="163">
        <v>2</v>
      </c>
      <c r="V280" s="168">
        <v>40000</v>
      </c>
      <c r="W280" s="163"/>
      <c r="X280" s="1473"/>
      <c r="Y280" s="1257" t="s">
        <v>1148</v>
      </c>
    </row>
    <row r="281" spans="2:25" ht="89.25" x14ac:dyDescent="0.25">
      <c r="B281" s="229"/>
      <c r="C281" s="674"/>
      <c r="D281" s="674"/>
      <c r="E281" s="674"/>
      <c r="F281" s="674"/>
      <c r="G281" s="1476"/>
      <c r="H281" s="1476" t="s">
        <v>1122</v>
      </c>
      <c r="I281" s="1473" t="s">
        <v>1123</v>
      </c>
      <c r="J281" s="163"/>
      <c r="K281" s="163">
        <v>150</v>
      </c>
      <c r="L281" s="168">
        <v>0</v>
      </c>
      <c r="M281" s="163">
        <v>200</v>
      </c>
      <c r="N281" s="168">
        <v>0</v>
      </c>
      <c r="O281" s="163">
        <v>250</v>
      </c>
      <c r="P281" s="168">
        <v>0</v>
      </c>
      <c r="Q281" s="163">
        <v>300</v>
      </c>
      <c r="R281" s="168">
        <v>0</v>
      </c>
      <c r="S281" s="163">
        <v>350</v>
      </c>
      <c r="T281" s="168">
        <v>0</v>
      </c>
      <c r="U281" s="163">
        <v>350</v>
      </c>
      <c r="V281" s="168">
        <v>0</v>
      </c>
      <c r="W281" s="163"/>
      <c r="X281" s="1473"/>
      <c r="Y281" s="1257" t="s">
        <v>1148</v>
      </c>
    </row>
    <row r="282" spans="2:25" ht="76.5" x14ac:dyDescent="0.25">
      <c r="B282" s="229"/>
      <c r="C282" s="674"/>
      <c r="D282" s="674"/>
      <c r="E282" s="674"/>
      <c r="F282" s="674"/>
      <c r="G282" s="1476" t="s">
        <v>1124</v>
      </c>
      <c r="H282" s="173" t="s">
        <v>1125</v>
      </c>
      <c r="I282" s="1473" t="s">
        <v>69</v>
      </c>
      <c r="J282" s="163"/>
      <c r="K282" s="163">
        <v>1</v>
      </c>
      <c r="L282" s="168">
        <v>300000</v>
      </c>
      <c r="M282" s="163">
        <v>1</v>
      </c>
      <c r="N282" s="168">
        <v>500000</v>
      </c>
      <c r="O282" s="163">
        <v>1</v>
      </c>
      <c r="P282" s="168">
        <v>600000</v>
      </c>
      <c r="Q282" s="163">
        <v>1</v>
      </c>
      <c r="R282" s="168">
        <v>700000</v>
      </c>
      <c r="S282" s="163">
        <v>1</v>
      </c>
      <c r="T282" s="168">
        <v>800000</v>
      </c>
      <c r="U282" s="163">
        <v>1</v>
      </c>
      <c r="V282" s="168">
        <v>800000</v>
      </c>
      <c r="W282" s="163"/>
      <c r="X282" s="1473"/>
      <c r="Y282" s="1257" t="s">
        <v>1148</v>
      </c>
    </row>
    <row r="283" spans="2:25" x14ac:dyDescent="0.25">
      <c r="B283" s="229"/>
      <c r="C283" s="674"/>
      <c r="D283" s="674"/>
      <c r="E283" s="674"/>
      <c r="F283" s="674"/>
      <c r="G283" s="1740"/>
      <c r="H283" s="173"/>
      <c r="I283" s="1737"/>
      <c r="J283" s="163"/>
      <c r="K283" s="163"/>
      <c r="L283" s="168"/>
      <c r="M283" s="163"/>
      <c r="N283" s="168"/>
      <c r="O283" s="163"/>
      <c r="P283" s="168"/>
      <c r="Q283" s="163"/>
      <c r="R283" s="168"/>
      <c r="S283" s="163"/>
      <c r="T283" s="168"/>
      <c r="U283" s="163"/>
      <c r="V283" s="168"/>
      <c r="W283" s="163"/>
      <c r="X283" s="1737"/>
      <c r="Y283" s="1747"/>
    </row>
    <row r="284" spans="2:25" ht="63.75" x14ac:dyDescent="0.25">
      <c r="B284" s="229"/>
      <c r="C284" s="674"/>
      <c r="D284" s="674"/>
      <c r="E284" s="674"/>
      <c r="F284" s="173" t="s">
        <v>3881</v>
      </c>
      <c r="G284" s="1473" t="s">
        <v>3883</v>
      </c>
      <c r="H284" s="1476"/>
      <c r="I284" s="1473" t="s">
        <v>19</v>
      </c>
      <c r="J284" s="1245">
        <v>100</v>
      </c>
      <c r="K284" s="1245">
        <v>100</v>
      </c>
      <c r="L284" s="885"/>
      <c r="M284" s="1246">
        <v>100</v>
      </c>
      <c r="N284" s="885"/>
      <c r="O284" s="163">
        <v>100</v>
      </c>
      <c r="P284" s="885"/>
      <c r="Q284" s="1246">
        <v>100</v>
      </c>
      <c r="R284" s="1246"/>
      <c r="S284" s="163">
        <v>100</v>
      </c>
      <c r="T284" s="1246"/>
      <c r="U284" s="1246">
        <v>100</v>
      </c>
      <c r="V284" s="1246"/>
      <c r="W284" s="1246">
        <v>100</v>
      </c>
      <c r="X284" s="173"/>
      <c r="Y284" s="1257" t="s">
        <v>1148</v>
      </c>
    </row>
    <row r="285" spans="2:25" ht="76.5" x14ac:dyDescent="0.25">
      <c r="B285" s="229"/>
      <c r="C285" s="674"/>
      <c r="D285" s="674"/>
      <c r="E285" s="674"/>
      <c r="F285" s="674"/>
      <c r="G285" s="1476" t="s">
        <v>1126</v>
      </c>
      <c r="H285" s="173" t="s">
        <v>3122</v>
      </c>
      <c r="I285" s="1473" t="s">
        <v>3118</v>
      </c>
      <c r="J285" s="163">
        <v>1</v>
      </c>
      <c r="K285" s="163">
        <v>2</v>
      </c>
      <c r="L285" s="168">
        <f>SUM(L286:L288)</f>
        <v>22854049</v>
      </c>
      <c r="M285" s="163">
        <v>3</v>
      </c>
      <c r="N285" s="168">
        <f>SUM(N286:N288)</f>
        <v>36800000</v>
      </c>
      <c r="O285" s="163">
        <v>4</v>
      </c>
      <c r="P285" s="168">
        <f>SUM(P286:P288)</f>
        <v>27500000</v>
      </c>
      <c r="Q285" s="163">
        <v>5</v>
      </c>
      <c r="R285" s="168">
        <f>SUM(R286:R288)</f>
        <v>22000000</v>
      </c>
      <c r="S285" s="163">
        <v>6</v>
      </c>
      <c r="T285" s="168">
        <f>SUM(T286:T288)</f>
        <v>22000000</v>
      </c>
      <c r="U285" s="163">
        <v>7</v>
      </c>
      <c r="V285" s="168">
        <f>SUM(V286:V288)</f>
        <v>16750000</v>
      </c>
      <c r="W285" s="163">
        <v>7</v>
      </c>
      <c r="X285" s="1473"/>
      <c r="Y285" s="1257" t="s">
        <v>1148</v>
      </c>
    </row>
    <row r="286" spans="2:25" ht="89.25" x14ac:dyDescent="0.25">
      <c r="B286" s="229"/>
      <c r="C286" s="674"/>
      <c r="D286" s="674"/>
      <c r="E286" s="674"/>
      <c r="F286" s="674"/>
      <c r="G286" s="173" t="s">
        <v>1127</v>
      </c>
      <c r="H286" s="1476" t="s">
        <v>3121</v>
      </c>
      <c r="I286" s="1473" t="s">
        <v>69</v>
      </c>
      <c r="J286" s="163">
        <v>1</v>
      </c>
      <c r="K286" s="163">
        <v>1</v>
      </c>
      <c r="L286" s="168">
        <v>10712000</v>
      </c>
      <c r="M286" s="163">
        <v>1</v>
      </c>
      <c r="N286" s="168">
        <v>18500000</v>
      </c>
      <c r="O286" s="163">
        <v>1</v>
      </c>
      <c r="P286" s="168">
        <v>14500000</v>
      </c>
      <c r="Q286" s="163">
        <v>1</v>
      </c>
      <c r="R286" s="168">
        <v>10000000</v>
      </c>
      <c r="S286" s="163">
        <v>1</v>
      </c>
      <c r="T286" s="168">
        <v>10000000</v>
      </c>
      <c r="U286" s="163">
        <v>1</v>
      </c>
      <c r="V286" s="168">
        <v>5000000</v>
      </c>
      <c r="W286" s="163">
        <v>7</v>
      </c>
      <c r="X286" s="1473"/>
      <c r="Y286" s="1257" t="s">
        <v>1148</v>
      </c>
    </row>
    <row r="287" spans="2:25" ht="63.75" x14ac:dyDescent="0.25">
      <c r="B287" s="229"/>
      <c r="C287" s="674"/>
      <c r="D287" s="674"/>
      <c r="E287" s="674"/>
      <c r="F287" s="674"/>
      <c r="G287" s="173" t="s">
        <v>1128</v>
      </c>
      <c r="H287" s="1476" t="s">
        <v>1129</v>
      </c>
      <c r="I287" s="1473" t="s">
        <v>69</v>
      </c>
      <c r="J287" s="163">
        <v>7</v>
      </c>
      <c r="K287" s="163">
        <v>7</v>
      </c>
      <c r="L287" s="168">
        <v>2142049</v>
      </c>
      <c r="M287" s="163">
        <v>22</v>
      </c>
      <c r="N287" s="168">
        <v>8300000</v>
      </c>
      <c r="O287" s="163">
        <v>7</v>
      </c>
      <c r="P287" s="168">
        <v>3000000</v>
      </c>
      <c r="Q287" s="163">
        <v>6</v>
      </c>
      <c r="R287" s="168">
        <v>2000000</v>
      </c>
      <c r="S287" s="163">
        <v>6</v>
      </c>
      <c r="T287" s="168">
        <v>2000000</v>
      </c>
      <c r="U287" s="163">
        <v>9</v>
      </c>
      <c r="V287" s="168">
        <v>1750000</v>
      </c>
      <c r="W287" s="163"/>
      <c r="X287" s="1473"/>
      <c r="Y287" s="1257" t="s">
        <v>1148</v>
      </c>
    </row>
    <row r="288" spans="2:25" ht="38.25" x14ac:dyDescent="0.25">
      <c r="B288" s="229"/>
      <c r="C288" s="674"/>
      <c r="D288" s="674"/>
      <c r="E288" s="674"/>
      <c r="F288" s="675"/>
      <c r="G288" s="173" t="s">
        <v>1130</v>
      </c>
      <c r="H288" s="1476" t="s">
        <v>1131</v>
      </c>
      <c r="I288" s="1473" t="s">
        <v>69</v>
      </c>
      <c r="J288" s="163">
        <v>11</v>
      </c>
      <c r="K288" s="163">
        <v>11</v>
      </c>
      <c r="L288" s="168">
        <v>10000000</v>
      </c>
      <c r="M288" s="163">
        <v>10</v>
      </c>
      <c r="N288" s="168">
        <v>10000000</v>
      </c>
      <c r="O288" s="163">
        <v>10</v>
      </c>
      <c r="P288" s="168">
        <v>10000000</v>
      </c>
      <c r="Q288" s="163">
        <v>10</v>
      </c>
      <c r="R288" s="168">
        <v>10000000</v>
      </c>
      <c r="S288" s="163">
        <v>10</v>
      </c>
      <c r="T288" s="168">
        <v>10000000</v>
      </c>
      <c r="U288" s="163">
        <v>10</v>
      </c>
      <c r="V288" s="168">
        <v>10000000</v>
      </c>
      <c r="W288" s="163"/>
      <c r="X288" s="1473"/>
      <c r="Y288" s="1257" t="s">
        <v>1148</v>
      </c>
    </row>
    <row r="289" spans="2:25" x14ac:dyDescent="0.25">
      <c r="B289" s="229"/>
      <c r="C289" s="674"/>
      <c r="D289" s="674"/>
      <c r="E289" s="674"/>
      <c r="F289" s="675"/>
      <c r="G289" s="673"/>
      <c r="H289" s="1740"/>
      <c r="I289" s="1737"/>
      <c r="J289" s="163"/>
      <c r="K289" s="163"/>
      <c r="L289" s="168"/>
      <c r="M289" s="163"/>
      <c r="N289" s="168"/>
      <c r="O289" s="163"/>
      <c r="P289" s="168"/>
      <c r="Q289" s="163"/>
      <c r="R289" s="168"/>
      <c r="S289" s="163"/>
      <c r="T289" s="168"/>
      <c r="U289" s="163"/>
      <c r="V289" s="168"/>
      <c r="W289" s="163"/>
      <c r="X289" s="1737"/>
      <c r="Y289" s="1747"/>
    </row>
    <row r="290" spans="2:25" ht="38.25" x14ac:dyDescent="0.25">
      <c r="B290" s="229"/>
      <c r="C290" s="674"/>
      <c r="D290" s="674"/>
      <c r="E290" s="674"/>
      <c r="F290" s="1476" t="s">
        <v>3882</v>
      </c>
      <c r="G290" s="1477" t="s">
        <v>3885</v>
      </c>
      <c r="H290" s="1476"/>
      <c r="I290" s="1473" t="s">
        <v>19</v>
      </c>
      <c r="J290" s="1245">
        <v>65</v>
      </c>
      <c r="K290" s="1245">
        <v>65</v>
      </c>
      <c r="L290" s="885"/>
      <c r="M290" s="1246">
        <v>70</v>
      </c>
      <c r="N290" s="885"/>
      <c r="O290" s="163">
        <v>75</v>
      </c>
      <c r="P290" s="885"/>
      <c r="Q290" s="1246">
        <v>80</v>
      </c>
      <c r="R290" s="1246"/>
      <c r="S290" s="163">
        <v>80</v>
      </c>
      <c r="T290" s="1246"/>
      <c r="U290" s="1246">
        <v>85</v>
      </c>
      <c r="V290" s="1246"/>
      <c r="W290" s="1246">
        <v>85</v>
      </c>
      <c r="X290" s="173"/>
      <c r="Y290" s="1257" t="s">
        <v>1148</v>
      </c>
    </row>
    <row r="291" spans="2:25" ht="25.5" x14ac:dyDescent="0.25">
      <c r="B291" s="229"/>
      <c r="C291" s="674"/>
      <c r="D291" s="674"/>
      <c r="E291" s="674"/>
      <c r="F291" s="674"/>
      <c r="G291" s="2019" t="s">
        <v>1017</v>
      </c>
      <c r="H291" s="1476" t="s">
        <v>1018</v>
      </c>
      <c r="I291" s="1473" t="s">
        <v>19</v>
      </c>
      <c r="J291" s="163">
        <v>75</v>
      </c>
      <c r="K291" s="163">
        <v>76</v>
      </c>
      <c r="L291" s="168">
        <v>350000</v>
      </c>
      <c r="M291" s="163">
        <v>77</v>
      </c>
      <c r="N291" s="168">
        <v>470000</v>
      </c>
      <c r="O291" s="163">
        <v>78</v>
      </c>
      <c r="P291" s="168">
        <v>1500000</v>
      </c>
      <c r="Q291" s="163">
        <v>79</v>
      </c>
      <c r="R291" s="168">
        <v>1700000</v>
      </c>
      <c r="S291" s="163">
        <v>80</v>
      </c>
      <c r="T291" s="168">
        <v>1700000</v>
      </c>
      <c r="U291" s="163">
        <v>80</v>
      </c>
      <c r="V291" s="168">
        <v>1700000</v>
      </c>
      <c r="W291" s="163">
        <v>80</v>
      </c>
      <c r="X291" s="173"/>
      <c r="Y291" s="1257" t="s">
        <v>1148</v>
      </c>
    </row>
    <row r="292" spans="2:25" ht="25.5" x14ac:dyDescent="0.25">
      <c r="B292" s="229"/>
      <c r="C292" s="674"/>
      <c r="D292" s="674"/>
      <c r="E292" s="674"/>
      <c r="F292" s="674"/>
      <c r="G292" s="2019"/>
      <c r="H292" s="1476" t="s">
        <v>1019</v>
      </c>
      <c r="I292" s="1473" t="s">
        <v>19</v>
      </c>
      <c r="J292" s="163">
        <v>75</v>
      </c>
      <c r="K292" s="163">
        <v>76</v>
      </c>
      <c r="L292" s="168"/>
      <c r="M292" s="163">
        <v>77</v>
      </c>
      <c r="N292" s="168"/>
      <c r="O292" s="163">
        <v>78</v>
      </c>
      <c r="P292" s="168"/>
      <c r="Q292" s="163">
        <v>79</v>
      </c>
      <c r="R292" s="168"/>
      <c r="S292" s="163">
        <v>80</v>
      </c>
      <c r="T292" s="168"/>
      <c r="U292" s="163">
        <v>80</v>
      </c>
      <c r="V292" s="168"/>
      <c r="W292" s="163">
        <v>80</v>
      </c>
      <c r="X292" s="173"/>
      <c r="Y292" s="1257" t="s">
        <v>1148</v>
      </c>
    </row>
    <row r="293" spans="2:25" ht="51" x14ac:dyDescent="0.25">
      <c r="B293" s="229"/>
      <c r="C293" s="674"/>
      <c r="D293" s="674"/>
      <c r="E293" s="674"/>
      <c r="F293" s="674"/>
      <c r="G293" s="2019"/>
      <c r="H293" s="1476" t="s">
        <v>1020</v>
      </c>
      <c r="I293" s="1473" t="s">
        <v>19</v>
      </c>
      <c r="J293" s="163">
        <v>75.900000000000006</v>
      </c>
      <c r="K293" s="163">
        <v>76</v>
      </c>
      <c r="L293" s="168"/>
      <c r="M293" s="163">
        <v>77</v>
      </c>
      <c r="N293" s="168"/>
      <c r="O293" s="163">
        <v>78</v>
      </c>
      <c r="P293" s="168"/>
      <c r="Q293" s="163">
        <v>79</v>
      </c>
      <c r="R293" s="168"/>
      <c r="S293" s="163">
        <v>80</v>
      </c>
      <c r="T293" s="168"/>
      <c r="U293" s="163">
        <v>80</v>
      </c>
      <c r="V293" s="168"/>
      <c r="W293" s="163">
        <v>80</v>
      </c>
      <c r="X293" s="173"/>
      <c r="Y293" s="1257" t="s">
        <v>1148</v>
      </c>
    </row>
    <row r="294" spans="2:25" ht="38.25" x14ac:dyDescent="0.25">
      <c r="B294" s="229"/>
      <c r="C294" s="674"/>
      <c r="D294" s="674"/>
      <c r="E294" s="674"/>
      <c r="F294" s="674"/>
      <c r="G294" s="2019"/>
      <c r="H294" s="1476" t="s">
        <v>1021</v>
      </c>
      <c r="I294" s="1473" t="s">
        <v>19</v>
      </c>
      <c r="J294" s="163">
        <v>75</v>
      </c>
      <c r="K294" s="163">
        <v>76</v>
      </c>
      <c r="L294" s="168"/>
      <c r="M294" s="163">
        <v>77</v>
      </c>
      <c r="N294" s="168"/>
      <c r="O294" s="163">
        <v>78</v>
      </c>
      <c r="P294" s="168"/>
      <c r="Q294" s="163">
        <v>79</v>
      </c>
      <c r="R294" s="168"/>
      <c r="S294" s="163">
        <v>80</v>
      </c>
      <c r="T294" s="168"/>
      <c r="U294" s="163">
        <v>80</v>
      </c>
      <c r="V294" s="168"/>
      <c r="W294" s="163">
        <v>80</v>
      </c>
      <c r="X294" s="173"/>
      <c r="Y294" s="1257" t="s">
        <v>1148</v>
      </c>
    </row>
    <row r="295" spans="2:25" ht="51" x14ac:dyDescent="0.25">
      <c r="B295" s="229"/>
      <c r="C295" s="674"/>
      <c r="D295" s="674"/>
      <c r="E295" s="674"/>
      <c r="F295" s="674"/>
      <c r="G295" s="2019"/>
      <c r="H295" s="1476" t="s">
        <v>1022</v>
      </c>
      <c r="I295" s="1473" t="s">
        <v>19</v>
      </c>
      <c r="J295" s="163">
        <v>38</v>
      </c>
      <c r="K295" s="163">
        <v>50</v>
      </c>
      <c r="L295" s="168"/>
      <c r="M295" s="163">
        <v>65</v>
      </c>
      <c r="N295" s="168"/>
      <c r="O295" s="163">
        <v>75</v>
      </c>
      <c r="P295" s="168"/>
      <c r="Q295" s="163">
        <v>85</v>
      </c>
      <c r="R295" s="168"/>
      <c r="S295" s="163">
        <v>99</v>
      </c>
      <c r="T295" s="168"/>
      <c r="U295" s="163">
        <v>100</v>
      </c>
      <c r="V295" s="168"/>
      <c r="W295" s="163">
        <v>100</v>
      </c>
      <c r="X295" s="173"/>
      <c r="Y295" s="1257" t="s">
        <v>1148</v>
      </c>
    </row>
    <row r="296" spans="2:25" ht="38.25" x14ac:dyDescent="0.25">
      <c r="B296" s="229"/>
      <c r="C296" s="674"/>
      <c r="D296" s="674"/>
      <c r="E296" s="674"/>
      <c r="F296" s="674"/>
      <c r="G296" s="2019"/>
      <c r="H296" s="1476" t="s">
        <v>1023</v>
      </c>
      <c r="I296" s="1473" t="s">
        <v>19</v>
      </c>
      <c r="J296" s="163">
        <v>90</v>
      </c>
      <c r="K296" s="163">
        <v>92</v>
      </c>
      <c r="L296" s="168"/>
      <c r="M296" s="163">
        <v>94</v>
      </c>
      <c r="N296" s="168"/>
      <c r="O296" s="163">
        <v>96</v>
      </c>
      <c r="P296" s="168"/>
      <c r="Q296" s="163">
        <v>98</v>
      </c>
      <c r="R296" s="168"/>
      <c r="S296" s="163">
        <v>100</v>
      </c>
      <c r="T296" s="168"/>
      <c r="U296" s="163">
        <v>100</v>
      </c>
      <c r="V296" s="168"/>
      <c r="W296" s="163">
        <v>100</v>
      </c>
      <c r="X296" s="173"/>
      <c r="Y296" s="1257" t="s">
        <v>1148</v>
      </c>
    </row>
    <row r="297" spans="2:25" ht="63.75" x14ac:dyDescent="0.25">
      <c r="B297" s="229"/>
      <c r="C297" s="674"/>
      <c r="D297" s="674"/>
      <c r="E297" s="674"/>
      <c r="F297" s="674"/>
      <c r="G297" s="173" t="s">
        <v>1024</v>
      </c>
      <c r="H297" s="891" t="s">
        <v>1025</v>
      </c>
      <c r="I297" s="1473" t="s">
        <v>19</v>
      </c>
      <c r="J297" s="163">
        <v>77.36</v>
      </c>
      <c r="K297" s="163">
        <v>80</v>
      </c>
      <c r="L297" s="168">
        <v>50000</v>
      </c>
      <c r="M297" s="163">
        <v>85</v>
      </c>
      <c r="N297" s="168">
        <v>50000</v>
      </c>
      <c r="O297" s="163">
        <v>90</v>
      </c>
      <c r="P297" s="168">
        <v>100000</v>
      </c>
      <c r="Q297" s="163">
        <v>95</v>
      </c>
      <c r="R297" s="168">
        <v>125000</v>
      </c>
      <c r="S297" s="163">
        <v>99</v>
      </c>
      <c r="T297" s="168">
        <v>150000</v>
      </c>
      <c r="U297" s="163">
        <v>100</v>
      </c>
      <c r="V297" s="168">
        <v>175000</v>
      </c>
      <c r="W297" s="163">
        <v>100</v>
      </c>
      <c r="X297" s="173"/>
      <c r="Y297" s="1257" t="s">
        <v>1148</v>
      </c>
    </row>
    <row r="298" spans="2:25" ht="51" x14ac:dyDescent="0.25">
      <c r="B298" s="229"/>
      <c r="C298" s="674"/>
      <c r="D298" s="674"/>
      <c r="E298" s="674"/>
      <c r="F298" s="674"/>
      <c r="G298" s="173"/>
      <c r="H298" s="891" t="s">
        <v>1026</v>
      </c>
      <c r="I298" s="1473" t="s">
        <v>19</v>
      </c>
      <c r="J298" s="163">
        <v>75.91</v>
      </c>
      <c r="K298" s="163">
        <v>80</v>
      </c>
      <c r="L298" s="168"/>
      <c r="M298" s="163">
        <v>83</v>
      </c>
      <c r="N298" s="168"/>
      <c r="O298" s="163">
        <v>85</v>
      </c>
      <c r="P298" s="168"/>
      <c r="Q298" s="163">
        <v>90</v>
      </c>
      <c r="R298" s="168"/>
      <c r="S298" s="163">
        <v>93</v>
      </c>
      <c r="T298" s="168"/>
      <c r="U298" s="163">
        <v>95</v>
      </c>
      <c r="V298" s="168"/>
      <c r="W298" s="163">
        <v>95</v>
      </c>
      <c r="X298" s="173"/>
      <c r="Y298" s="1257" t="s">
        <v>1148</v>
      </c>
    </row>
    <row r="299" spans="2:25" x14ac:dyDescent="0.25">
      <c r="B299" s="1745"/>
      <c r="C299" s="1742"/>
      <c r="D299" s="1742"/>
      <c r="E299" s="674"/>
      <c r="F299" s="173"/>
      <c r="G299" s="1487"/>
      <c r="H299" s="1476"/>
      <c r="I299" s="1473"/>
      <c r="J299" s="163"/>
      <c r="K299" s="163"/>
      <c r="L299" s="168">
        <v>0</v>
      </c>
      <c r="M299" s="163"/>
      <c r="N299" s="168">
        <v>0</v>
      </c>
      <c r="O299" s="163"/>
      <c r="P299" s="168">
        <v>0</v>
      </c>
      <c r="Q299" s="163"/>
      <c r="R299" s="168">
        <v>0</v>
      </c>
      <c r="S299" s="163"/>
      <c r="T299" s="168">
        <v>0</v>
      </c>
      <c r="U299" s="163"/>
      <c r="V299" s="168">
        <v>0</v>
      </c>
      <c r="W299" s="163"/>
      <c r="X299" s="1473"/>
      <c r="Y299" s="1257" t="s">
        <v>1148</v>
      </c>
    </row>
    <row r="300" spans="2:25" ht="51" x14ac:dyDescent="0.25">
      <c r="B300" s="229"/>
      <c r="C300" s="674"/>
      <c r="D300" s="674"/>
      <c r="E300" s="674"/>
      <c r="F300" s="173" t="s">
        <v>15</v>
      </c>
      <c r="G300" s="1473" t="s">
        <v>3875</v>
      </c>
      <c r="H300" s="1476"/>
      <c r="I300" s="1473" t="s">
        <v>3124</v>
      </c>
      <c r="J300" s="1618">
        <v>0</v>
      </c>
      <c r="K300" s="1618">
        <v>0</v>
      </c>
      <c r="L300" s="1615"/>
      <c r="M300" s="1618">
        <v>6</v>
      </c>
      <c r="N300" s="1615"/>
      <c r="O300" s="1618">
        <v>6</v>
      </c>
      <c r="P300" s="1615"/>
      <c r="Q300" s="1618">
        <v>6</v>
      </c>
      <c r="R300" s="1615"/>
      <c r="S300" s="1618">
        <v>6</v>
      </c>
      <c r="T300" s="1615"/>
      <c r="U300" s="1618">
        <v>6</v>
      </c>
      <c r="V300" s="1615"/>
      <c r="W300" s="1618">
        <v>6</v>
      </c>
      <c r="X300" s="1606"/>
      <c r="Y300" s="1257" t="s">
        <v>1148</v>
      </c>
    </row>
    <row r="301" spans="2:25" ht="63.75" x14ac:dyDescent="0.25">
      <c r="B301" s="1195"/>
      <c r="C301" s="675"/>
      <c r="D301" s="675"/>
      <c r="E301" s="675"/>
      <c r="F301" s="675"/>
      <c r="G301" s="885" t="s">
        <v>3741</v>
      </c>
      <c r="H301" s="173" t="s">
        <v>3742</v>
      </c>
      <c r="I301" s="1249" t="s">
        <v>75</v>
      </c>
      <c r="J301" s="885">
        <v>0</v>
      </c>
      <c r="K301" s="885">
        <v>37</v>
      </c>
      <c r="L301" s="1625">
        <v>35064907</v>
      </c>
      <c r="M301" s="1625">
        <v>37</v>
      </c>
      <c r="N301" s="1626">
        <v>34728948</v>
      </c>
      <c r="O301" s="1625">
        <v>37</v>
      </c>
      <c r="P301" s="1625">
        <v>38201843</v>
      </c>
      <c r="Q301" s="1625">
        <v>37</v>
      </c>
      <c r="R301" s="1626">
        <v>42022028</v>
      </c>
      <c r="S301" s="1625">
        <v>37</v>
      </c>
      <c r="T301" s="1625">
        <v>46224230</v>
      </c>
      <c r="U301" s="1625">
        <v>37</v>
      </c>
      <c r="V301" s="1625">
        <v>50846653</v>
      </c>
      <c r="W301" s="885">
        <v>37</v>
      </c>
      <c r="X301" s="1473"/>
      <c r="Y301" s="1522" t="s">
        <v>3743</v>
      </c>
    </row>
    <row r="302" spans="2:25" x14ac:dyDescent="0.25">
      <c r="B302" s="229"/>
      <c r="C302" s="674"/>
      <c r="D302" s="675"/>
      <c r="E302" s="675"/>
      <c r="F302" s="675"/>
      <c r="G302" s="885"/>
      <c r="H302" s="173"/>
      <c r="I302" s="1249"/>
      <c r="J302" s="885"/>
      <c r="K302" s="885"/>
      <c r="L302" s="1625"/>
      <c r="M302" s="1625"/>
      <c r="N302" s="1626"/>
      <c r="O302" s="1625"/>
      <c r="P302" s="1625"/>
      <c r="Q302" s="1625"/>
      <c r="R302" s="1626"/>
      <c r="S302" s="1625"/>
      <c r="T302" s="1625"/>
      <c r="U302" s="1625"/>
      <c r="V302" s="1625"/>
      <c r="W302" s="885"/>
      <c r="X302" s="1473"/>
      <c r="Y302" s="1522"/>
    </row>
    <row r="303" spans="2:25" ht="38.25" x14ac:dyDescent="0.25">
      <c r="B303" s="2021" t="s">
        <v>120</v>
      </c>
      <c r="C303" s="2097" t="s">
        <v>34</v>
      </c>
      <c r="D303" s="2097" t="s">
        <v>3822</v>
      </c>
      <c r="E303" s="2097" t="s">
        <v>3867</v>
      </c>
      <c r="F303" s="2013" t="s">
        <v>3866</v>
      </c>
      <c r="G303" s="173" t="s">
        <v>3133</v>
      </c>
      <c r="H303" s="173"/>
      <c r="I303" s="1249" t="s">
        <v>19</v>
      </c>
      <c r="J303" s="1260">
        <v>90</v>
      </c>
      <c r="K303" s="1260">
        <v>91</v>
      </c>
      <c r="L303" s="1270"/>
      <c r="M303" s="1261">
        <v>92</v>
      </c>
      <c r="N303" s="1270"/>
      <c r="O303" s="1261">
        <v>93</v>
      </c>
      <c r="P303" s="1270"/>
      <c r="Q303" s="1261">
        <v>94</v>
      </c>
      <c r="R303" s="1270"/>
      <c r="S303" s="163">
        <v>95</v>
      </c>
      <c r="T303" s="1270"/>
      <c r="U303" s="163">
        <v>96</v>
      </c>
      <c r="V303" s="1270"/>
      <c r="W303" s="163">
        <f>U303</f>
        <v>96</v>
      </c>
      <c r="X303" s="173"/>
      <c r="Y303" s="1257" t="s">
        <v>1148</v>
      </c>
    </row>
    <row r="304" spans="2:25" ht="63.75" x14ac:dyDescent="0.25">
      <c r="B304" s="2021"/>
      <c r="C304" s="2098"/>
      <c r="D304" s="2098"/>
      <c r="E304" s="2098"/>
      <c r="F304" s="2014"/>
      <c r="G304" s="173" t="s">
        <v>970</v>
      </c>
      <c r="H304" s="1476" t="s">
        <v>386</v>
      </c>
      <c r="I304" s="1473" t="s">
        <v>19</v>
      </c>
      <c r="J304" s="163">
        <v>100</v>
      </c>
      <c r="K304" s="163">
        <v>20</v>
      </c>
      <c r="L304" s="168">
        <f>SUM(L305:L318)</f>
        <v>1213271</v>
      </c>
      <c r="M304" s="163">
        <v>20</v>
      </c>
      <c r="N304" s="168">
        <f>SUM(N305:N318)</f>
        <v>1608876</v>
      </c>
      <c r="O304" s="163">
        <v>15</v>
      </c>
      <c r="P304" s="168">
        <f>SUM(P305:P318)</f>
        <v>1769723.5999999999</v>
      </c>
      <c r="Q304" s="163">
        <v>15</v>
      </c>
      <c r="R304" s="168">
        <f>SUM(R305:R318)</f>
        <v>1946695.96</v>
      </c>
      <c r="S304" s="163">
        <v>15</v>
      </c>
      <c r="T304" s="168">
        <f>SUM(T305:T318)</f>
        <v>2141365.5559999999</v>
      </c>
      <c r="U304" s="163">
        <v>15</v>
      </c>
      <c r="V304" s="168">
        <f>SUM(V305:V318)</f>
        <v>2277306.3563999999</v>
      </c>
      <c r="W304" s="163">
        <v>100</v>
      </c>
      <c r="X304" s="173"/>
      <c r="Y304" s="1257" t="s">
        <v>1148</v>
      </c>
    </row>
    <row r="305" spans="2:25" ht="63.75" x14ac:dyDescent="0.25">
      <c r="B305" s="2021"/>
      <c r="C305" s="674"/>
      <c r="D305" s="674"/>
      <c r="E305" s="674"/>
      <c r="F305" s="674"/>
      <c r="G305" s="173" t="s">
        <v>124</v>
      </c>
      <c r="H305" s="1476" t="s">
        <v>971</v>
      </c>
      <c r="I305" s="1473" t="s">
        <v>40</v>
      </c>
      <c r="J305" s="163"/>
      <c r="K305" s="163">
        <v>12</v>
      </c>
      <c r="L305" s="168">
        <v>3720</v>
      </c>
      <c r="M305" s="163">
        <v>12</v>
      </c>
      <c r="N305" s="168">
        <v>4092.0000000000005</v>
      </c>
      <c r="O305" s="163">
        <v>12</v>
      </c>
      <c r="P305" s="168">
        <v>4501.2000000000007</v>
      </c>
      <c r="Q305" s="163">
        <v>12</v>
      </c>
      <c r="R305" s="168">
        <v>4951.3200000000006</v>
      </c>
      <c r="S305" s="163">
        <v>12</v>
      </c>
      <c r="T305" s="168">
        <v>5446.4520000000011</v>
      </c>
      <c r="U305" s="163">
        <v>12</v>
      </c>
      <c r="V305" s="168">
        <v>5991.0972000000002</v>
      </c>
      <c r="W305" s="163">
        <v>12</v>
      </c>
      <c r="X305" s="173"/>
      <c r="Y305" s="1257" t="s">
        <v>1148</v>
      </c>
    </row>
    <row r="306" spans="2:25" ht="89.25" x14ac:dyDescent="0.25">
      <c r="B306" s="2021"/>
      <c r="C306" s="674"/>
      <c r="D306" s="674"/>
      <c r="E306" s="674"/>
      <c r="F306" s="674"/>
      <c r="G306" s="173" t="s">
        <v>126</v>
      </c>
      <c r="H306" s="1476" t="s">
        <v>972</v>
      </c>
      <c r="I306" s="1473" t="s">
        <v>40</v>
      </c>
      <c r="J306" s="163"/>
      <c r="K306" s="163">
        <v>12</v>
      </c>
      <c r="L306" s="168">
        <v>280000</v>
      </c>
      <c r="M306" s="163">
        <v>12</v>
      </c>
      <c r="N306" s="168">
        <v>280372</v>
      </c>
      <c r="O306" s="163">
        <v>12</v>
      </c>
      <c r="P306" s="168">
        <v>308409.2</v>
      </c>
      <c r="Q306" s="163">
        <v>12</v>
      </c>
      <c r="R306" s="168">
        <v>339250.12</v>
      </c>
      <c r="S306" s="163">
        <v>12</v>
      </c>
      <c r="T306" s="168">
        <v>373175.13199999998</v>
      </c>
      <c r="U306" s="163">
        <v>12</v>
      </c>
      <c r="V306" s="168">
        <v>410492.64519999997</v>
      </c>
      <c r="W306" s="163">
        <v>12</v>
      </c>
      <c r="X306" s="173"/>
      <c r="Y306" s="1257" t="s">
        <v>1148</v>
      </c>
    </row>
    <row r="307" spans="2:25" ht="102" x14ac:dyDescent="0.25">
      <c r="B307" s="2021"/>
      <c r="C307" s="674"/>
      <c r="D307" s="674"/>
      <c r="E307" s="674"/>
      <c r="F307" s="674"/>
      <c r="G307" s="173" t="s">
        <v>43</v>
      </c>
      <c r="H307" s="1476" t="s">
        <v>973</v>
      </c>
      <c r="I307" s="1473" t="s">
        <v>40</v>
      </c>
      <c r="J307" s="163"/>
      <c r="K307" s="163">
        <v>12</v>
      </c>
      <c r="L307" s="168">
        <v>167100</v>
      </c>
      <c r="M307" s="163">
        <v>12</v>
      </c>
      <c r="N307" s="168">
        <v>167472</v>
      </c>
      <c r="O307" s="163">
        <v>12</v>
      </c>
      <c r="P307" s="168">
        <v>184219.2</v>
      </c>
      <c r="Q307" s="163">
        <v>12</v>
      </c>
      <c r="R307" s="168">
        <v>202641.12</v>
      </c>
      <c r="S307" s="163">
        <v>12</v>
      </c>
      <c r="T307" s="168">
        <v>222905.23200000002</v>
      </c>
      <c r="U307" s="163">
        <v>12</v>
      </c>
      <c r="V307" s="168">
        <v>167000</v>
      </c>
      <c r="W307" s="163">
        <v>12</v>
      </c>
      <c r="X307" s="173"/>
      <c r="Y307" s="1257" t="s">
        <v>1148</v>
      </c>
    </row>
    <row r="308" spans="2:25" ht="76.5" x14ac:dyDescent="0.25">
      <c r="B308" s="2021"/>
      <c r="C308" s="674"/>
      <c r="D308" s="674"/>
      <c r="E308" s="674"/>
      <c r="F308" s="674"/>
      <c r="G308" s="173" t="s">
        <v>47</v>
      </c>
      <c r="H308" s="1476" t="s">
        <v>974</v>
      </c>
      <c r="I308" s="1473" t="s">
        <v>40</v>
      </c>
      <c r="J308" s="163"/>
      <c r="K308" s="163">
        <v>12</v>
      </c>
      <c r="L308" s="168">
        <v>28004</v>
      </c>
      <c r="M308" s="163">
        <v>12</v>
      </c>
      <c r="N308" s="168">
        <v>28376</v>
      </c>
      <c r="O308" s="163">
        <v>12</v>
      </c>
      <c r="P308" s="168">
        <v>31213.599999999999</v>
      </c>
      <c r="Q308" s="163">
        <v>12</v>
      </c>
      <c r="R308" s="168">
        <v>34334.959999999999</v>
      </c>
      <c r="S308" s="163">
        <v>12</v>
      </c>
      <c r="T308" s="168">
        <v>37768.455999999998</v>
      </c>
      <c r="U308" s="163">
        <v>12</v>
      </c>
      <c r="V308" s="168">
        <v>41545.301599999999</v>
      </c>
      <c r="W308" s="163">
        <v>12</v>
      </c>
      <c r="X308" s="173"/>
      <c r="Y308" s="1257" t="s">
        <v>1148</v>
      </c>
    </row>
    <row r="309" spans="2:25" ht="114.75" x14ac:dyDescent="0.25">
      <c r="B309" s="2021"/>
      <c r="C309" s="674"/>
      <c r="D309" s="674"/>
      <c r="E309" s="674"/>
      <c r="F309" s="674"/>
      <c r="G309" s="173" t="s">
        <v>975</v>
      </c>
      <c r="H309" s="1476" t="s">
        <v>976</v>
      </c>
      <c r="I309" s="1473" t="s">
        <v>40</v>
      </c>
      <c r="J309" s="163"/>
      <c r="K309" s="163">
        <v>12</v>
      </c>
      <c r="L309" s="168">
        <v>150000</v>
      </c>
      <c r="M309" s="163">
        <v>12</v>
      </c>
      <c r="N309" s="168">
        <v>150372</v>
      </c>
      <c r="O309" s="163">
        <v>12</v>
      </c>
      <c r="P309" s="168">
        <v>165409.20000000004</v>
      </c>
      <c r="Q309" s="163">
        <v>12</v>
      </c>
      <c r="R309" s="168">
        <v>181950.12000000002</v>
      </c>
      <c r="S309" s="163">
        <v>12</v>
      </c>
      <c r="T309" s="168">
        <v>200145.13200000001</v>
      </c>
      <c r="U309" s="163">
        <v>12</v>
      </c>
      <c r="V309" s="168">
        <v>220159.64520000003</v>
      </c>
      <c r="W309" s="163">
        <v>12</v>
      </c>
      <c r="X309" s="173"/>
      <c r="Y309" s="1257" t="s">
        <v>1148</v>
      </c>
    </row>
    <row r="310" spans="2:25" ht="63.75" x14ac:dyDescent="0.25">
      <c r="B310" s="2021"/>
      <c r="C310" s="674"/>
      <c r="D310" s="674"/>
      <c r="E310" s="674"/>
      <c r="F310" s="674"/>
      <c r="G310" s="173" t="s">
        <v>50</v>
      </c>
      <c r="H310" s="1476" t="s">
        <v>977</v>
      </c>
      <c r="I310" s="1473" t="s">
        <v>40</v>
      </c>
      <c r="J310" s="163"/>
      <c r="K310" s="163">
        <v>12</v>
      </c>
      <c r="L310" s="168">
        <v>29600</v>
      </c>
      <c r="M310" s="163">
        <v>12</v>
      </c>
      <c r="N310" s="168">
        <v>32560.000000000004</v>
      </c>
      <c r="O310" s="163">
        <v>12</v>
      </c>
      <c r="P310" s="168">
        <v>35816</v>
      </c>
      <c r="Q310" s="163">
        <v>12</v>
      </c>
      <c r="R310" s="168">
        <v>39397.600000000006</v>
      </c>
      <c r="S310" s="163">
        <v>12</v>
      </c>
      <c r="T310" s="168">
        <v>43337.36</v>
      </c>
      <c r="U310" s="163">
        <v>12</v>
      </c>
      <c r="V310" s="168">
        <v>47671.096000000005</v>
      </c>
      <c r="W310" s="163">
        <v>12</v>
      </c>
      <c r="X310" s="173"/>
      <c r="Y310" s="1257" t="s">
        <v>1148</v>
      </c>
    </row>
    <row r="311" spans="2:25" ht="63.75" x14ac:dyDescent="0.25">
      <c r="B311" s="2021"/>
      <c r="C311" s="674"/>
      <c r="D311" s="674"/>
      <c r="E311" s="674"/>
      <c r="F311" s="674"/>
      <c r="G311" s="173" t="s">
        <v>52</v>
      </c>
      <c r="H311" s="1476" t="s">
        <v>978</v>
      </c>
      <c r="I311" s="1473" t="s">
        <v>40</v>
      </c>
      <c r="J311" s="163"/>
      <c r="K311" s="163">
        <v>12</v>
      </c>
      <c r="L311" s="168">
        <v>41600</v>
      </c>
      <c r="M311" s="163">
        <v>12</v>
      </c>
      <c r="N311" s="168">
        <v>41972</v>
      </c>
      <c r="O311" s="163">
        <v>12</v>
      </c>
      <c r="P311" s="168">
        <v>46169.200000000004</v>
      </c>
      <c r="Q311" s="163">
        <v>12</v>
      </c>
      <c r="R311" s="168">
        <v>50786.12</v>
      </c>
      <c r="S311" s="163">
        <v>12</v>
      </c>
      <c r="T311" s="168">
        <v>55864.732000000004</v>
      </c>
      <c r="U311" s="163">
        <v>12</v>
      </c>
      <c r="V311" s="168">
        <v>61451.205200000004</v>
      </c>
      <c r="W311" s="163">
        <v>12</v>
      </c>
      <c r="X311" s="173"/>
      <c r="Y311" s="1257" t="s">
        <v>1148</v>
      </c>
    </row>
    <row r="312" spans="2:25" ht="114.75" x14ac:dyDescent="0.25">
      <c r="B312" s="2021"/>
      <c r="C312" s="674"/>
      <c r="D312" s="674"/>
      <c r="E312" s="674"/>
      <c r="F312" s="674"/>
      <c r="G312" s="173" t="s">
        <v>979</v>
      </c>
      <c r="H312" s="1476" t="s">
        <v>980</v>
      </c>
      <c r="I312" s="1473" t="s">
        <v>40</v>
      </c>
      <c r="J312" s="163"/>
      <c r="K312" s="163">
        <v>12</v>
      </c>
      <c r="L312" s="168">
        <v>23800</v>
      </c>
      <c r="M312" s="163">
        <v>12</v>
      </c>
      <c r="N312" s="168">
        <v>24172</v>
      </c>
      <c r="O312" s="163">
        <v>12</v>
      </c>
      <c r="P312" s="168">
        <v>26589.200000000001</v>
      </c>
      <c r="Q312" s="163">
        <v>12</v>
      </c>
      <c r="R312" s="168">
        <v>29248.12</v>
      </c>
      <c r="S312" s="163">
        <v>12</v>
      </c>
      <c r="T312" s="168">
        <v>32172.932000000004</v>
      </c>
      <c r="U312" s="163">
        <v>12</v>
      </c>
      <c r="V312" s="168">
        <v>35390.225200000001</v>
      </c>
      <c r="W312" s="163">
        <v>12</v>
      </c>
      <c r="X312" s="173"/>
      <c r="Y312" s="1257" t="s">
        <v>1148</v>
      </c>
    </row>
    <row r="313" spans="2:25" ht="102" x14ac:dyDescent="0.25">
      <c r="B313" s="2021"/>
      <c r="C313" s="674"/>
      <c r="D313" s="674"/>
      <c r="E313" s="674"/>
      <c r="F313" s="674"/>
      <c r="G313" s="173" t="s">
        <v>56</v>
      </c>
      <c r="H313" s="1476" t="s">
        <v>981</v>
      </c>
      <c r="I313" s="1473" t="s">
        <v>40</v>
      </c>
      <c r="J313" s="163"/>
      <c r="K313" s="163">
        <v>12</v>
      </c>
      <c r="L313" s="168">
        <v>2750</v>
      </c>
      <c r="M313" s="163">
        <v>12</v>
      </c>
      <c r="N313" s="168">
        <v>3122</v>
      </c>
      <c r="O313" s="163">
        <v>12</v>
      </c>
      <c r="P313" s="168">
        <v>3434.2</v>
      </c>
      <c r="Q313" s="163">
        <v>12</v>
      </c>
      <c r="R313" s="168">
        <v>3777.62</v>
      </c>
      <c r="S313" s="163">
        <v>12</v>
      </c>
      <c r="T313" s="168">
        <v>4155.3819999999996</v>
      </c>
      <c r="U313" s="163">
        <v>12</v>
      </c>
      <c r="V313" s="168">
        <v>4570.9201999999996</v>
      </c>
      <c r="W313" s="163">
        <v>12</v>
      </c>
      <c r="X313" s="173"/>
      <c r="Y313" s="1257" t="s">
        <v>1148</v>
      </c>
    </row>
    <row r="314" spans="2:25" ht="51" x14ac:dyDescent="0.25">
      <c r="B314" s="2021"/>
      <c r="C314" s="674"/>
      <c r="D314" s="674"/>
      <c r="E314" s="674"/>
      <c r="F314" s="674"/>
      <c r="G314" s="173" t="s">
        <v>58</v>
      </c>
      <c r="H314" s="1476" t="s">
        <v>982</v>
      </c>
      <c r="I314" s="1473" t="s">
        <v>40</v>
      </c>
      <c r="J314" s="163"/>
      <c r="K314" s="163">
        <v>12</v>
      </c>
      <c r="L314" s="168">
        <v>36300</v>
      </c>
      <c r="M314" s="163">
        <v>12</v>
      </c>
      <c r="N314" s="168">
        <v>36672</v>
      </c>
      <c r="O314" s="163">
        <v>12</v>
      </c>
      <c r="P314" s="168">
        <v>40339.199999999997</v>
      </c>
      <c r="Q314" s="163">
        <v>12</v>
      </c>
      <c r="R314" s="168">
        <v>44373.120000000003</v>
      </c>
      <c r="S314" s="163">
        <v>12</v>
      </c>
      <c r="T314" s="168">
        <v>48810.432000000001</v>
      </c>
      <c r="U314" s="163">
        <v>12</v>
      </c>
      <c r="V314" s="168">
        <v>53691.475200000001</v>
      </c>
      <c r="W314" s="163">
        <v>12</v>
      </c>
      <c r="X314" s="173"/>
      <c r="Y314" s="1257" t="s">
        <v>1148</v>
      </c>
    </row>
    <row r="315" spans="2:25" ht="76.5" x14ac:dyDescent="0.25">
      <c r="B315" s="2021"/>
      <c r="C315" s="674"/>
      <c r="D315" s="674"/>
      <c r="E315" s="674"/>
      <c r="F315" s="674"/>
      <c r="G315" s="173" t="s">
        <v>137</v>
      </c>
      <c r="H315" s="1476" t="s">
        <v>983</v>
      </c>
      <c r="I315" s="1473" t="s">
        <v>40</v>
      </c>
      <c r="J315" s="163"/>
      <c r="K315" s="163">
        <v>12</v>
      </c>
      <c r="L315" s="168">
        <v>42350</v>
      </c>
      <c r="M315" s="163">
        <v>12</v>
      </c>
      <c r="N315" s="168">
        <v>42722</v>
      </c>
      <c r="O315" s="163">
        <v>12</v>
      </c>
      <c r="P315" s="168">
        <v>46994.2</v>
      </c>
      <c r="Q315" s="163">
        <v>12</v>
      </c>
      <c r="R315" s="168">
        <v>51693.619999999995</v>
      </c>
      <c r="S315" s="163">
        <v>12</v>
      </c>
      <c r="T315" s="168">
        <v>56862.981999999996</v>
      </c>
      <c r="U315" s="163">
        <v>12</v>
      </c>
      <c r="V315" s="168">
        <v>62549.280200000001</v>
      </c>
      <c r="W315" s="163">
        <v>12</v>
      </c>
      <c r="X315" s="173"/>
      <c r="Y315" s="1257" t="s">
        <v>1148</v>
      </c>
    </row>
    <row r="316" spans="2:25" ht="38.25" x14ac:dyDescent="0.25">
      <c r="B316" s="2021"/>
      <c r="C316" s="674"/>
      <c r="D316" s="674"/>
      <c r="E316" s="674"/>
      <c r="F316" s="674"/>
      <c r="G316" s="173" t="s">
        <v>62</v>
      </c>
      <c r="H316" s="1476" t="s">
        <v>984</v>
      </c>
      <c r="I316" s="1473" t="s">
        <v>40</v>
      </c>
      <c r="J316" s="163"/>
      <c r="K316" s="163">
        <v>12</v>
      </c>
      <c r="L316" s="168">
        <v>303600</v>
      </c>
      <c r="M316" s="163">
        <v>12</v>
      </c>
      <c r="N316" s="168">
        <v>386400</v>
      </c>
      <c r="O316" s="163">
        <v>12</v>
      </c>
      <c r="P316" s="168">
        <v>425000</v>
      </c>
      <c r="Q316" s="163">
        <v>12</v>
      </c>
      <c r="R316" s="168">
        <v>467500</v>
      </c>
      <c r="S316" s="163">
        <v>12</v>
      </c>
      <c r="T316" s="168">
        <v>514250</v>
      </c>
      <c r="U316" s="163">
        <v>12</v>
      </c>
      <c r="V316" s="168">
        <v>565675</v>
      </c>
      <c r="W316" s="163">
        <v>12</v>
      </c>
      <c r="X316" s="173"/>
      <c r="Y316" s="1257" t="s">
        <v>1148</v>
      </c>
    </row>
    <row r="317" spans="2:25" ht="76.5" x14ac:dyDescent="0.25">
      <c r="B317" s="2021"/>
      <c r="C317" s="674"/>
      <c r="D317" s="674"/>
      <c r="E317" s="674"/>
      <c r="F317" s="674"/>
      <c r="G317" s="173" t="s">
        <v>985</v>
      </c>
      <c r="H317" s="1476" t="s">
        <v>986</v>
      </c>
      <c r="I317" s="1473" t="s">
        <v>40</v>
      </c>
      <c r="J317" s="163"/>
      <c r="K317" s="163">
        <v>12</v>
      </c>
      <c r="L317" s="168">
        <v>24200</v>
      </c>
      <c r="M317" s="163">
        <v>12</v>
      </c>
      <c r="N317" s="168">
        <v>24572</v>
      </c>
      <c r="O317" s="163">
        <v>12</v>
      </c>
      <c r="P317" s="168">
        <v>27029.200000000001</v>
      </c>
      <c r="Q317" s="163">
        <v>12</v>
      </c>
      <c r="R317" s="168">
        <v>29732.12</v>
      </c>
      <c r="S317" s="163">
        <v>12</v>
      </c>
      <c r="T317" s="168">
        <v>32705.331999999999</v>
      </c>
      <c r="U317" s="163">
        <v>12</v>
      </c>
      <c r="V317" s="168">
        <v>35975.8652</v>
      </c>
      <c r="W317" s="163">
        <v>12</v>
      </c>
      <c r="X317" s="173"/>
      <c r="Y317" s="1257" t="s">
        <v>1148</v>
      </c>
    </row>
    <row r="318" spans="2:25" ht="38.25" x14ac:dyDescent="0.25">
      <c r="B318" s="2021"/>
      <c r="C318" s="674"/>
      <c r="D318" s="674"/>
      <c r="E318" s="674"/>
      <c r="F318" s="674"/>
      <c r="G318" s="173" t="s">
        <v>504</v>
      </c>
      <c r="H318" s="1476" t="s">
        <v>987</v>
      </c>
      <c r="I318" s="1473" t="s">
        <v>40</v>
      </c>
      <c r="J318" s="163"/>
      <c r="K318" s="163">
        <v>12</v>
      </c>
      <c r="L318" s="168">
        <v>80247</v>
      </c>
      <c r="M318" s="163">
        <v>12</v>
      </c>
      <c r="N318" s="168">
        <v>386000</v>
      </c>
      <c r="O318" s="163">
        <v>12</v>
      </c>
      <c r="P318" s="168">
        <v>424600</v>
      </c>
      <c r="Q318" s="163">
        <v>12</v>
      </c>
      <c r="R318" s="168">
        <v>467060.00000000006</v>
      </c>
      <c r="S318" s="163">
        <v>12</v>
      </c>
      <c r="T318" s="168">
        <v>513766.00000000006</v>
      </c>
      <c r="U318" s="163">
        <v>12</v>
      </c>
      <c r="V318" s="168">
        <v>565142.60000000009</v>
      </c>
      <c r="W318" s="163">
        <v>12</v>
      </c>
      <c r="X318" s="173"/>
      <c r="Y318" s="1257" t="s">
        <v>1148</v>
      </c>
    </row>
    <row r="319" spans="2:25" ht="51" x14ac:dyDescent="0.25">
      <c r="B319" s="2021"/>
      <c r="C319" s="674"/>
      <c r="D319" s="674"/>
      <c r="E319" s="674"/>
      <c r="F319" s="674"/>
      <c r="G319" s="173" t="s">
        <v>988</v>
      </c>
      <c r="H319" s="1476" t="s">
        <v>989</v>
      </c>
      <c r="I319" s="1473" t="s">
        <v>19</v>
      </c>
      <c r="J319" s="163">
        <v>100</v>
      </c>
      <c r="K319" s="163">
        <v>20</v>
      </c>
      <c r="L319" s="168">
        <f>SUM(L320:L325)</f>
        <v>2271300</v>
      </c>
      <c r="M319" s="163">
        <v>20</v>
      </c>
      <c r="N319" s="168">
        <f>SUM(N320:N325)</f>
        <v>1603158</v>
      </c>
      <c r="O319" s="163">
        <v>15</v>
      </c>
      <c r="P319" s="168">
        <f>SUM(P320:P325)</f>
        <v>1653436.7999999998</v>
      </c>
      <c r="Q319" s="163">
        <v>15</v>
      </c>
      <c r="R319" s="168">
        <f>SUM(R320:R325)</f>
        <v>1708743.4800000004</v>
      </c>
      <c r="S319" s="163">
        <v>15</v>
      </c>
      <c r="T319" s="168">
        <f>SUM(T320:T325)</f>
        <v>1769580.828</v>
      </c>
      <c r="U319" s="163">
        <v>15</v>
      </c>
      <c r="V319" s="168">
        <f>SUM(V320:V325)</f>
        <v>1825387.4656</v>
      </c>
      <c r="W319" s="163">
        <v>100</v>
      </c>
      <c r="X319" s="173"/>
      <c r="Y319" s="1257" t="s">
        <v>1148</v>
      </c>
    </row>
    <row r="320" spans="2:25" ht="38.25" x14ac:dyDescent="0.25">
      <c r="B320" s="2021"/>
      <c r="C320" s="674"/>
      <c r="D320" s="674"/>
      <c r="E320" s="674"/>
      <c r="F320" s="674"/>
      <c r="G320" s="173" t="s">
        <v>990</v>
      </c>
      <c r="H320" s="1476" t="s">
        <v>991</v>
      </c>
      <c r="I320" s="1473" t="s">
        <v>992</v>
      </c>
      <c r="J320" s="163"/>
      <c r="K320" s="163">
        <v>7</v>
      </c>
      <c r="L320" s="168">
        <v>100000</v>
      </c>
      <c r="M320" s="163">
        <v>8</v>
      </c>
      <c r="N320" s="168">
        <v>100000</v>
      </c>
      <c r="O320" s="163">
        <v>8</v>
      </c>
      <c r="P320" s="168">
        <v>100000</v>
      </c>
      <c r="Q320" s="163">
        <v>8</v>
      </c>
      <c r="R320" s="168">
        <v>100000</v>
      </c>
      <c r="S320" s="163">
        <v>8</v>
      </c>
      <c r="T320" s="168">
        <v>100000</v>
      </c>
      <c r="U320" s="163">
        <v>8</v>
      </c>
      <c r="V320" s="168">
        <v>100000</v>
      </c>
      <c r="W320" s="163">
        <v>8</v>
      </c>
      <c r="X320" s="173"/>
      <c r="Y320" s="1257" t="s">
        <v>1148</v>
      </c>
    </row>
    <row r="321" spans="2:25" ht="25.5" x14ac:dyDescent="0.25">
      <c r="B321" s="2021"/>
      <c r="C321" s="674"/>
      <c r="D321" s="674"/>
      <c r="E321" s="674"/>
      <c r="F321" s="674"/>
      <c r="G321" s="1476" t="s">
        <v>158</v>
      </c>
      <c r="H321" s="1476" t="s">
        <v>158</v>
      </c>
      <c r="I321" s="1473" t="s">
        <v>993</v>
      </c>
      <c r="J321" s="163"/>
      <c r="K321" s="163">
        <v>5</v>
      </c>
      <c r="L321" s="168">
        <v>78000</v>
      </c>
      <c r="M321" s="163">
        <v>12</v>
      </c>
      <c r="N321" s="168">
        <v>78372</v>
      </c>
      <c r="O321" s="163">
        <v>12</v>
      </c>
      <c r="P321" s="168">
        <v>86209.2</v>
      </c>
      <c r="Q321" s="163">
        <v>12</v>
      </c>
      <c r="R321" s="168">
        <v>94830.12</v>
      </c>
      <c r="S321" s="163">
        <v>12</v>
      </c>
      <c r="T321" s="168">
        <v>104313.132</v>
      </c>
      <c r="U321" s="163">
        <v>12</v>
      </c>
      <c r="V321" s="168">
        <v>104000</v>
      </c>
      <c r="W321" s="163">
        <v>12</v>
      </c>
      <c r="X321" s="173"/>
      <c r="Y321" s="1257" t="s">
        <v>1148</v>
      </c>
    </row>
    <row r="322" spans="2:25" x14ac:dyDescent="0.25">
      <c r="B322" s="2021"/>
      <c r="C322" s="674"/>
      <c r="D322" s="674"/>
      <c r="E322" s="674"/>
      <c r="F322" s="674"/>
      <c r="G322" s="1476" t="s">
        <v>402</v>
      </c>
      <c r="H322" s="1476" t="s">
        <v>402</v>
      </c>
      <c r="I322" s="1473" t="s">
        <v>69</v>
      </c>
      <c r="J322" s="163"/>
      <c r="K322" s="163">
        <v>2</v>
      </c>
      <c r="L322" s="168">
        <v>1670000</v>
      </c>
      <c r="M322" s="163">
        <v>2</v>
      </c>
      <c r="N322" s="168">
        <v>1000370</v>
      </c>
      <c r="O322" s="163">
        <v>2</v>
      </c>
      <c r="P322" s="168">
        <v>1000370</v>
      </c>
      <c r="Q322" s="163">
        <v>2</v>
      </c>
      <c r="R322" s="168">
        <v>1000370</v>
      </c>
      <c r="S322" s="163">
        <v>2</v>
      </c>
      <c r="T322" s="168">
        <v>1000370</v>
      </c>
      <c r="U322" s="163">
        <v>2</v>
      </c>
      <c r="V322" s="168">
        <v>1000000</v>
      </c>
      <c r="W322" s="163">
        <v>2</v>
      </c>
      <c r="X322" s="173"/>
      <c r="Y322" s="1257" t="s">
        <v>1148</v>
      </c>
    </row>
    <row r="323" spans="2:25" ht="63.75" x14ac:dyDescent="0.25">
      <c r="B323" s="2021"/>
      <c r="C323" s="674"/>
      <c r="D323" s="674"/>
      <c r="E323" s="674"/>
      <c r="F323" s="674"/>
      <c r="G323" s="1476" t="s">
        <v>994</v>
      </c>
      <c r="H323" s="1476" t="s">
        <v>994</v>
      </c>
      <c r="I323" s="1473" t="s">
        <v>40</v>
      </c>
      <c r="J323" s="163"/>
      <c r="K323" s="163">
        <v>12</v>
      </c>
      <c r="L323" s="168">
        <v>135500</v>
      </c>
      <c r="M323" s="163">
        <v>12</v>
      </c>
      <c r="N323" s="168">
        <v>135872</v>
      </c>
      <c r="O323" s="163">
        <v>12</v>
      </c>
      <c r="P323" s="168">
        <v>149459.20000000001</v>
      </c>
      <c r="Q323" s="163">
        <v>12</v>
      </c>
      <c r="R323" s="168">
        <v>164405.12000000002</v>
      </c>
      <c r="S323" s="163">
        <v>12</v>
      </c>
      <c r="T323" s="168">
        <v>180845.63200000001</v>
      </c>
      <c r="U323" s="163">
        <v>12</v>
      </c>
      <c r="V323" s="168">
        <v>198930.19520000002</v>
      </c>
      <c r="W323" s="163">
        <v>12</v>
      </c>
      <c r="X323" s="173"/>
      <c r="Y323" s="1257" t="s">
        <v>1148</v>
      </c>
    </row>
    <row r="324" spans="2:25" ht="51" x14ac:dyDescent="0.25">
      <c r="B324" s="2021"/>
      <c r="C324" s="674"/>
      <c r="D324" s="674"/>
      <c r="E324" s="674"/>
      <c r="F324" s="674"/>
      <c r="G324" s="1476" t="s">
        <v>995</v>
      </c>
      <c r="H324" s="1476" t="s">
        <v>995</v>
      </c>
      <c r="I324" s="1473" t="s">
        <v>40</v>
      </c>
      <c r="J324" s="163"/>
      <c r="K324" s="163">
        <v>12</v>
      </c>
      <c r="L324" s="168">
        <v>16500</v>
      </c>
      <c r="M324" s="163">
        <v>12</v>
      </c>
      <c r="N324" s="168">
        <v>16872</v>
      </c>
      <c r="O324" s="163">
        <v>12</v>
      </c>
      <c r="P324" s="168">
        <v>18559.2</v>
      </c>
      <c r="Q324" s="163">
        <v>12</v>
      </c>
      <c r="R324" s="168">
        <v>20415.120000000003</v>
      </c>
      <c r="S324" s="163">
        <v>12</v>
      </c>
      <c r="T324" s="168">
        <v>22456.632000000001</v>
      </c>
      <c r="U324" s="163">
        <v>12</v>
      </c>
      <c r="V324" s="168">
        <v>24702.2952</v>
      </c>
      <c r="W324" s="163">
        <v>12</v>
      </c>
      <c r="X324" s="173"/>
      <c r="Y324" s="1257" t="s">
        <v>1148</v>
      </c>
    </row>
    <row r="325" spans="2:25" ht="51" x14ac:dyDescent="0.25">
      <c r="B325" s="2021"/>
      <c r="C325" s="674"/>
      <c r="D325" s="674"/>
      <c r="E325" s="674"/>
      <c r="F325" s="674"/>
      <c r="G325" s="1476" t="s">
        <v>996</v>
      </c>
      <c r="H325" s="1476" t="s">
        <v>996</v>
      </c>
      <c r="I325" s="1473" t="s">
        <v>40</v>
      </c>
      <c r="J325" s="163"/>
      <c r="K325" s="163">
        <v>12</v>
      </c>
      <c r="L325" s="168">
        <v>271300</v>
      </c>
      <c r="M325" s="163">
        <v>12</v>
      </c>
      <c r="N325" s="168">
        <v>271672</v>
      </c>
      <c r="O325" s="163">
        <v>12</v>
      </c>
      <c r="P325" s="168">
        <v>298839.2</v>
      </c>
      <c r="Q325" s="163">
        <v>12</v>
      </c>
      <c r="R325" s="168">
        <v>328723.12</v>
      </c>
      <c r="S325" s="163">
        <v>12</v>
      </c>
      <c r="T325" s="168">
        <v>361595.43200000003</v>
      </c>
      <c r="U325" s="163">
        <v>12</v>
      </c>
      <c r="V325" s="168">
        <v>397754.97519999999</v>
      </c>
      <c r="W325" s="163">
        <v>12</v>
      </c>
      <c r="X325" s="173"/>
      <c r="Y325" s="1257" t="s">
        <v>1148</v>
      </c>
    </row>
    <row r="326" spans="2:25" ht="89.25" x14ac:dyDescent="0.25">
      <c r="B326" s="2021"/>
      <c r="C326" s="674"/>
      <c r="D326" s="674"/>
      <c r="E326" s="674"/>
      <c r="F326" s="674"/>
      <c r="G326" s="173" t="s">
        <v>3125</v>
      </c>
      <c r="H326" s="1476" t="s">
        <v>3126</v>
      </c>
      <c r="I326" s="1473" t="s">
        <v>79</v>
      </c>
      <c r="J326" s="163">
        <v>25</v>
      </c>
      <c r="K326" s="163">
        <f>K327</f>
        <v>5</v>
      </c>
      <c r="L326" s="168">
        <f>SUM(L327)</f>
        <v>165000</v>
      </c>
      <c r="M326" s="163">
        <v>5</v>
      </c>
      <c r="N326" s="168">
        <f>SUM(N327)</f>
        <v>135000</v>
      </c>
      <c r="O326" s="163">
        <v>5</v>
      </c>
      <c r="P326" s="168">
        <f>SUM(P327)</f>
        <v>145000</v>
      </c>
      <c r="Q326" s="163">
        <v>5</v>
      </c>
      <c r="R326" s="168">
        <f>SUM(R327)</f>
        <v>155000</v>
      </c>
      <c r="S326" s="163">
        <v>5</v>
      </c>
      <c r="T326" s="168">
        <f>SUM(T327)</f>
        <v>165000</v>
      </c>
      <c r="U326" s="163">
        <v>5</v>
      </c>
      <c r="V326" s="168">
        <f>SUM(V327)</f>
        <v>175000</v>
      </c>
      <c r="W326" s="163">
        <v>30</v>
      </c>
      <c r="X326" s="1473"/>
      <c r="Y326" s="1257" t="s">
        <v>1148</v>
      </c>
    </row>
    <row r="327" spans="2:25" ht="153" x14ac:dyDescent="0.25">
      <c r="B327" s="2021"/>
      <c r="C327" s="675"/>
      <c r="D327" s="675"/>
      <c r="E327" s="675"/>
      <c r="F327" s="675"/>
      <c r="G327" s="1476" t="s">
        <v>80</v>
      </c>
      <c r="H327" s="1476" t="s">
        <v>997</v>
      </c>
      <c r="I327" s="1473" t="s">
        <v>79</v>
      </c>
      <c r="J327" s="163"/>
      <c r="K327" s="163">
        <v>5</v>
      </c>
      <c r="L327" s="168">
        <v>165000</v>
      </c>
      <c r="M327" s="163">
        <v>5</v>
      </c>
      <c r="N327" s="168">
        <v>135000</v>
      </c>
      <c r="O327" s="163">
        <v>5</v>
      </c>
      <c r="P327" s="168">
        <v>145000</v>
      </c>
      <c r="Q327" s="163">
        <v>5</v>
      </c>
      <c r="R327" s="168">
        <v>155000</v>
      </c>
      <c r="S327" s="163">
        <v>5</v>
      </c>
      <c r="T327" s="168">
        <v>165000</v>
      </c>
      <c r="U327" s="163">
        <v>5</v>
      </c>
      <c r="V327" s="168">
        <v>175000</v>
      </c>
      <c r="W327" s="163">
        <v>5</v>
      </c>
      <c r="X327" s="1267"/>
      <c r="Y327" s="1257" t="s">
        <v>1148</v>
      </c>
    </row>
    <row r="328" spans="2:25" x14ac:dyDescent="0.25">
      <c r="B328" s="833" t="s">
        <v>1809</v>
      </c>
      <c r="C328" s="1476"/>
      <c r="D328" s="1476"/>
      <c r="E328" s="1476"/>
      <c r="F328" s="173"/>
      <c r="G328" s="173"/>
      <c r="H328" s="1476"/>
      <c r="I328" s="1473"/>
      <c r="J328" s="163"/>
      <c r="K328" s="163"/>
      <c r="L328" s="168">
        <f>SUM(L195:L327)/2</f>
        <v>69410403.5</v>
      </c>
      <c r="M328" s="163"/>
      <c r="N328" s="168">
        <f>SUM(N195:N327)/2</f>
        <v>91854508</v>
      </c>
      <c r="O328" s="163"/>
      <c r="P328" s="168">
        <f>SUM(P195:P327)/2</f>
        <v>93510981.899999917</v>
      </c>
      <c r="Q328" s="163"/>
      <c r="R328" s="168">
        <f>SUM(R195:R327)/2</f>
        <v>97684143.440000027</v>
      </c>
      <c r="S328" s="163"/>
      <c r="T328" s="168">
        <f>SUM(T195:T327)/2</f>
        <v>104566320.384</v>
      </c>
      <c r="U328" s="163"/>
      <c r="V328" s="168">
        <f>SUM(V195:V327)/2</f>
        <v>102071605.22200002</v>
      </c>
      <c r="W328" s="163"/>
      <c r="X328" s="1473"/>
      <c r="Y328" s="1257"/>
    </row>
    <row r="329" spans="2:25" x14ac:dyDescent="0.25">
      <c r="B329" s="833"/>
      <c r="C329" s="885"/>
      <c r="D329" s="885"/>
      <c r="E329" s="885"/>
      <c r="F329" s="885"/>
      <c r="G329" s="885"/>
      <c r="H329" s="885"/>
      <c r="I329" s="1249"/>
      <c r="J329" s="1260"/>
      <c r="K329" s="1260"/>
      <c r="L329" s="1270"/>
      <c r="M329" s="1261"/>
      <c r="N329" s="1270"/>
      <c r="O329" s="1261"/>
      <c r="P329" s="1270"/>
      <c r="Q329" s="1261"/>
      <c r="R329" s="1270"/>
      <c r="S329" s="1261"/>
      <c r="T329" s="1270"/>
      <c r="U329" s="1261"/>
      <c r="V329" s="1270"/>
      <c r="W329" s="1261"/>
      <c r="X329" s="885"/>
      <c r="Y329" s="1271"/>
    </row>
    <row r="330" spans="2:25" ht="13.5" thickBot="1" x14ac:dyDescent="0.3">
      <c r="B330" s="1891" t="s">
        <v>12</v>
      </c>
      <c r="C330" s="1272"/>
      <c r="D330" s="1272"/>
      <c r="E330" s="1272"/>
      <c r="F330" s="1272"/>
      <c r="G330" s="1272"/>
      <c r="H330" s="1272"/>
      <c r="I330" s="1273"/>
      <c r="J330" s="1274"/>
      <c r="K330" s="1274"/>
      <c r="L330" s="1275"/>
      <c r="M330" s="1276"/>
      <c r="N330" s="1275"/>
      <c r="O330" s="1276"/>
      <c r="P330" s="1275"/>
      <c r="Q330" s="1276"/>
      <c r="R330" s="1275"/>
      <c r="S330" s="1276"/>
      <c r="T330" s="1275"/>
      <c r="U330" s="1276"/>
      <c r="V330" s="1275"/>
      <c r="W330" s="1276"/>
      <c r="X330" s="1272"/>
      <c r="Y330" s="1277"/>
    </row>
    <row r="331" spans="2:25" s="883" customFormat="1" thickTop="1" x14ac:dyDescent="0.25">
      <c r="B331" s="1932" t="s">
        <v>494</v>
      </c>
      <c r="C331" s="1934" t="s">
        <v>752</v>
      </c>
      <c r="D331" s="1934" t="s">
        <v>576</v>
      </c>
      <c r="E331" s="1934" t="s">
        <v>577</v>
      </c>
      <c r="F331" s="1934" t="s">
        <v>3127</v>
      </c>
      <c r="G331" s="1934" t="s">
        <v>3128</v>
      </c>
      <c r="H331" s="1934" t="s">
        <v>966</v>
      </c>
      <c r="I331" s="1934" t="s">
        <v>421</v>
      </c>
      <c r="J331" s="2064" t="s">
        <v>967</v>
      </c>
      <c r="K331" s="2066" t="s">
        <v>7</v>
      </c>
      <c r="L331" s="2067"/>
      <c r="M331" s="2067"/>
      <c r="N331" s="2067"/>
      <c r="O331" s="2067"/>
      <c r="P331" s="2067"/>
      <c r="Q331" s="2067"/>
      <c r="R331" s="2067"/>
      <c r="S331" s="2067"/>
      <c r="T331" s="2067"/>
      <c r="U331" s="2067"/>
      <c r="V331" s="2067"/>
      <c r="W331" s="2067"/>
      <c r="X331" s="1934" t="s">
        <v>653</v>
      </c>
      <c r="Y331" s="2060" t="s">
        <v>1147</v>
      </c>
    </row>
    <row r="332" spans="2:25" s="883" customFormat="1" ht="12" x14ac:dyDescent="0.25">
      <c r="B332" s="1933"/>
      <c r="C332" s="1935"/>
      <c r="D332" s="1935"/>
      <c r="E332" s="1935"/>
      <c r="F332" s="1935"/>
      <c r="G332" s="1935"/>
      <c r="H332" s="1935"/>
      <c r="I332" s="1935"/>
      <c r="J332" s="2065"/>
      <c r="K332" s="2068" t="s">
        <v>114</v>
      </c>
      <c r="L332" s="2069"/>
      <c r="M332" s="2068" t="s">
        <v>115</v>
      </c>
      <c r="N332" s="2069"/>
      <c r="O332" s="2068" t="s">
        <v>116</v>
      </c>
      <c r="P332" s="2069"/>
      <c r="Q332" s="2068" t="s">
        <v>117</v>
      </c>
      <c r="R332" s="2069"/>
      <c r="S332" s="2068" t="s">
        <v>118</v>
      </c>
      <c r="T332" s="2069"/>
      <c r="U332" s="2068" t="s">
        <v>119</v>
      </c>
      <c r="V332" s="2069"/>
      <c r="W332" s="2065" t="s">
        <v>968</v>
      </c>
      <c r="X332" s="1935"/>
      <c r="Y332" s="2061"/>
    </row>
    <row r="333" spans="2:25" s="883" customFormat="1" ht="12" x14ac:dyDescent="0.25">
      <c r="B333" s="1933"/>
      <c r="C333" s="1935"/>
      <c r="D333" s="1935"/>
      <c r="E333" s="1935"/>
      <c r="F333" s="1935"/>
      <c r="G333" s="1935"/>
      <c r="H333" s="1935"/>
      <c r="I333" s="1935"/>
      <c r="J333" s="2065"/>
      <c r="K333" s="1892" t="s">
        <v>9</v>
      </c>
      <c r="L333" s="1893" t="s">
        <v>3107</v>
      </c>
      <c r="M333" s="1892" t="s">
        <v>9</v>
      </c>
      <c r="N333" s="1893" t="s">
        <v>1355</v>
      </c>
      <c r="O333" s="1892" t="s">
        <v>9</v>
      </c>
      <c r="P333" s="1893" t="s">
        <v>1355</v>
      </c>
      <c r="Q333" s="1892" t="s">
        <v>9</v>
      </c>
      <c r="R333" s="1893" t="s">
        <v>1355</v>
      </c>
      <c r="S333" s="1892" t="s">
        <v>9</v>
      </c>
      <c r="T333" s="1893" t="s">
        <v>1355</v>
      </c>
      <c r="U333" s="1892" t="s">
        <v>9</v>
      </c>
      <c r="V333" s="1893" t="s">
        <v>1355</v>
      </c>
      <c r="W333" s="2065"/>
      <c r="X333" s="1935"/>
      <c r="Y333" s="2061"/>
    </row>
    <row r="334" spans="2:25" s="1239" customFormat="1" x14ac:dyDescent="0.25">
      <c r="B334" s="1504" t="s">
        <v>586</v>
      </c>
      <c r="C334" s="1448" t="s">
        <v>585</v>
      </c>
      <c r="D334" s="1448" t="s">
        <v>654</v>
      </c>
      <c r="E334" s="1448" t="s">
        <v>655</v>
      </c>
      <c r="F334" s="1505" t="s">
        <v>32</v>
      </c>
      <c r="G334" s="933">
        <v>6</v>
      </c>
      <c r="H334" s="1505">
        <v>7</v>
      </c>
      <c r="I334" s="1445" t="s">
        <v>3065</v>
      </c>
      <c r="J334" s="1269" t="s">
        <v>3066</v>
      </c>
      <c r="K334" s="1269" t="s">
        <v>3067</v>
      </c>
      <c r="L334" s="1506" t="s">
        <v>3068</v>
      </c>
      <c r="M334" s="1269" t="s">
        <v>3069</v>
      </c>
      <c r="N334" s="1506">
        <v>13</v>
      </c>
      <c r="O334" s="1269">
        <v>14</v>
      </c>
      <c r="P334" s="1506">
        <v>15</v>
      </c>
      <c r="Q334" s="1269">
        <v>16</v>
      </c>
      <c r="R334" s="1506">
        <v>17</v>
      </c>
      <c r="S334" s="1269">
        <v>18</v>
      </c>
      <c r="T334" s="1506">
        <v>19</v>
      </c>
      <c r="U334" s="1269">
        <v>20</v>
      </c>
      <c r="V334" s="1506">
        <v>21</v>
      </c>
      <c r="W334" s="1269">
        <v>22</v>
      </c>
      <c r="X334" s="1445">
        <v>23</v>
      </c>
      <c r="Y334" s="1507">
        <v>24</v>
      </c>
    </row>
    <row r="335" spans="2:25" ht="51" x14ac:dyDescent="0.25">
      <c r="B335" s="2020" t="s">
        <v>13</v>
      </c>
      <c r="C335" s="2096" t="s">
        <v>3887</v>
      </c>
      <c r="D335" s="2096" t="s">
        <v>3880</v>
      </c>
      <c r="E335" s="2096" t="s">
        <v>14</v>
      </c>
      <c r="F335" s="789" t="s">
        <v>15</v>
      </c>
      <c r="G335" s="790" t="s">
        <v>3135</v>
      </c>
      <c r="H335" s="789" t="s">
        <v>15</v>
      </c>
      <c r="I335" s="790" t="s">
        <v>3124</v>
      </c>
      <c r="J335" s="1280" t="s">
        <v>16</v>
      </c>
      <c r="K335" s="1279" t="s">
        <v>16</v>
      </c>
      <c r="L335" s="1523">
        <f>L336+L343</f>
        <v>89000000</v>
      </c>
      <c r="M335" s="1261" t="s">
        <v>16</v>
      </c>
      <c r="N335" s="1523">
        <f>N336+N343</f>
        <v>102000000</v>
      </c>
      <c r="O335" s="1261" t="s">
        <v>16</v>
      </c>
      <c r="P335" s="1523">
        <f>P336+P343</f>
        <v>113000000</v>
      </c>
      <c r="Q335" s="1261" t="s">
        <v>16</v>
      </c>
      <c r="R335" s="1523">
        <f>R336+R343</f>
        <v>125160000</v>
      </c>
      <c r="S335" s="1261" t="s">
        <v>16</v>
      </c>
      <c r="T335" s="1523">
        <f>T336+T343</f>
        <v>137780000</v>
      </c>
      <c r="U335" s="1261" t="s">
        <v>16</v>
      </c>
      <c r="V335" s="1523">
        <f>V336+V343</f>
        <v>137780000</v>
      </c>
      <c r="W335" s="163" t="s">
        <v>16</v>
      </c>
      <c r="X335" s="1278" t="s">
        <v>12</v>
      </c>
      <c r="Y335" s="1284" t="s">
        <v>12</v>
      </c>
    </row>
    <row r="336" spans="2:25" ht="25.5" x14ac:dyDescent="0.25">
      <c r="B336" s="2020"/>
      <c r="C336" s="2096"/>
      <c r="D336" s="2096"/>
      <c r="E336" s="2096"/>
      <c r="F336" s="1524"/>
      <c r="G336" s="2096" t="s">
        <v>18</v>
      </c>
      <c r="H336" s="789" t="s">
        <v>17</v>
      </c>
      <c r="I336" s="790" t="s">
        <v>19</v>
      </c>
      <c r="J336" s="1279">
        <v>80</v>
      </c>
      <c r="K336" s="1279">
        <v>85</v>
      </c>
      <c r="L336" s="1486">
        <f>SUM(L338)</f>
        <v>80000000</v>
      </c>
      <c r="M336" s="1261">
        <v>85</v>
      </c>
      <c r="N336" s="1486">
        <f>SUM(N338)</f>
        <v>96000000</v>
      </c>
      <c r="O336" s="1261">
        <v>90</v>
      </c>
      <c r="P336" s="1486">
        <f>SUM(P338)</f>
        <v>105000000</v>
      </c>
      <c r="Q336" s="1261">
        <v>95</v>
      </c>
      <c r="R336" s="1486">
        <f>SUM(R338)</f>
        <v>116160000</v>
      </c>
      <c r="S336" s="1261">
        <v>100</v>
      </c>
      <c r="T336" s="1486">
        <f>SUM(T338)</f>
        <v>127780000</v>
      </c>
      <c r="U336" s="1261">
        <v>100</v>
      </c>
      <c r="V336" s="1486">
        <f>SUM(V338)</f>
        <v>127780000</v>
      </c>
      <c r="W336" s="1261">
        <v>100</v>
      </c>
      <c r="X336" s="1278" t="s">
        <v>12</v>
      </c>
      <c r="Y336" s="1284" t="s">
        <v>12</v>
      </c>
    </row>
    <row r="337" spans="2:25" ht="25.5" x14ac:dyDescent="0.25">
      <c r="B337" s="2020"/>
      <c r="C337" s="2096"/>
      <c r="D337" s="2096"/>
      <c r="E337" s="2096"/>
      <c r="F337" s="787"/>
      <c r="G337" s="2096"/>
      <c r="H337" s="789" t="s">
        <v>20</v>
      </c>
      <c r="I337" s="790" t="s">
        <v>19</v>
      </c>
      <c r="J337" s="1279">
        <v>85</v>
      </c>
      <c r="K337" s="1279">
        <v>87</v>
      </c>
      <c r="L337" s="1486"/>
      <c r="M337" s="1261">
        <v>90</v>
      </c>
      <c r="N337" s="1486"/>
      <c r="O337" s="1261">
        <v>93</v>
      </c>
      <c r="P337" s="1486"/>
      <c r="Q337" s="1261">
        <v>95</v>
      </c>
      <c r="R337" s="1486"/>
      <c r="S337" s="1261">
        <v>98</v>
      </c>
      <c r="T337" s="1486"/>
      <c r="U337" s="1261">
        <v>100</v>
      </c>
      <c r="V337" s="1486"/>
      <c r="W337" s="1261">
        <v>98</v>
      </c>
      <c r="X337" s="1278" t="s">
        <v>12</v>
      </c>
      <c r="Y337" s="1284" t="s">
        <v>12</v>
      </c>
    </row>
    <row r="338" spans="2:25" ht="76.5" x14ac:dyDescent="0.25">
      <c r="B338" s="2020"/>
      <c r="C338" s="2096"/>
      <c r="D338" s="2096"/>
      <c r="E338" s="2096"/>
      <c r="F338" s="787"/>
      <c r="G338" s="2096" t="s">
        <v>21</v>
      </c>
      <c r="H338" s="789" t="s">
        <v>22</v>
      </c>
      <c r="I338" s="1278" t="s">
        <v>19</v>
      </c>
      <c r="J338" s="1279">
        <v>100</v>
      </c>
      <c r="K338" s="1279"/>
      <c r="L338" s="2095">
        <v>80000000</v>
      </c>
      <c r="M338" s="1261">
        <v>100</v>
      </c>
      <c r="N338" s="2095">
        <v>96000000</v>
      </c>
      <c r="O338" s="1261">
        <v>100</v>
      </c>
      <c r="P338" s="2095">
        <v>105000000</v>
      </c>
      <c r="Q338" s="1261">
        <v>100</v>
      </c>
      <c r="R338" s="2095">
        <v>116160000</v>
      </c>
      <c r="S338" s="1261">
        <v>100</v>
      </c>
      <c r="T338" s="2095">
        <v>127780000</v>
      </c>
      <c r="U338" s="1261">
        <v>100</v>
      </c>
      <c r="V338" s="2095">
        <v>127780000</v>
      </c>
      <c r="W338" s="1261">
        <v>100</v>
      </c>
      <c r="X338" s="1278"/>
      <c r="Y338" s="1284" t="s">
        <v>12</v>
      </c>
    </row>
    <row r="339" spans="2:25" ht="76.5" x14ac:dyDescent="0.25">
      <c r="B339" s="2020"/>
      <c r="C339" s="2096"/>
      <c r="D339" s="2096"/>
      <c r="E339" s="2096"/>
      <c r="F339" s="787"/>
      <c r="G339" s="2096"/>
      <c r="H339" s="789" t="s">
        <v>23</v>
      </c>
      <c r="I339" s="1278" t="s">
        <v>19</v>
      </c>
      <c r="J339" s="1279">
        <v>75</v>
      </c>
      <c r="K339" s="1279">
        <v>80</v>
      </c>
      <c r="L339" s="2095"/>
      <c r="M339" s="1261">
        <v>85</v>
      </c>
      <c r="N339" s="2095"/>
      <c r="O339" s="1261">
        <v>90</v>
      </c>
      <c r="P339" s="2095"/>
      <c r="Q339" s="1261">
        <v>95</v>
      </c>
      <c r="R339" s="2095"/>
      <c r="S339" s="1261">
        <v>100</v>
      </c>
      <c r="T339" s="2095"/>
      <c r="U339" s="1261">
        <v>100</v>
      </c>
      <c r="V339" s="2095"/>
      <c r="W339" s="1261">
        <v>100</v>
      </c>
      <c r="X339" s="1278"/>
      <c r="Y339" s="1284" t="s">
        <v>12</v>
      </c>
    </row>
    <row r="340" spans="2:25" ht="63.75" x14ac:dyDescent="0.25">
      <c r="B340" s="2020"/>
      <c r="C340" s="2096"/>
      <c r="D340" s="2096"/>
      <c r="E340" s="2096"/>
      <c r="F340" s="787"/>
      <c r="G340" s="2096"/>
      <c r="H340" s="789" t="s">
        <v>24</v>
      </c>
      <c r="I340" s="1278" t="s">
        <v>19</v>
      </c>
      <c r="J340" s="1279">
        <v>65</v>
      </c>
      <c r="K340" s="1279">
        <v>70</v>
      </c>
      <c r="L340" s="2095"/>
      <c r="M340" s="1261">
        <v>75</v>
      </c>
      <c r="N340" s="2095"/>
      <c r="O340" s="1261">
        <v>80</v>
      </c>
      <c r="P340" s="2095"/>
      <c r="Q340" s="1261">
        <v>85</v>
      </c>
      <c r="R340" s="2095"/>
      <c r="S340" s="1261">
        <v>90</v>
      </c>
      <c r="T340" s="2095"/>
      <c r="U340" s="1261">
        <v>95</v>
      </c>
      <c r="V340" s="2095"/>
      <c r="W340" s="1261">
        <v>90</v>
      </c>
      <c r="X340" s="1278"/>
      <c r="Y340" s="1284" t="s">
        <v>12</v>
      </c>
    </row>
    <row r="341" spans="2:25" ht="114.75" x14ac:dyDescent="0.25">
      <c r="B341" s="2020"/>
      <c r="C341" s="2096"/>
      <c r="D341" s="2096"/>
      <c r="E341" s="2096"/>
      <c r="F341" s="787"/>
      <c r="G341" s="2096"/>
      <c r="H341" s="789" t="s">
        <v>25</v>
      </c>
      <c r="I341" s="1278" t="s">
        <v>19</v>
      </c>
      <c r="J341" s="1279">
        <v>65</v>
      </c>
      <c r="K341" s="1279">
        <v>70</v>
      </c>
      <c r="L341" s="2095"/>
      <c r="M341" s="1261">
        <v>75</v>
      </c>
      <c r="N341" s="2095"/>
      <c r="O341" s="1261">
        <v>80</v>
      </c>
      <c r="P341" s="2095"/>
      <c r="Q341" s="1261">
        <v>85</v>
      </c>
      <c r="R341" s="2095"/>
      <c r="S341" s="1261">
        <v>90</v>
      </c>
      <c r="T341" s="2095"/>
      <c r="U341" s="1261">
        <v>95</v>
      </c>
      <c r="V341" s="2095"/>
      <c r="W341" s="1261">
        <v>90</v>
      </c>
      <c r="X341" s="1278"/>
      <c r="Y341" s="1284" t="s">
        <v>12</v>
      </c>
    </row>
    <row r="342" spans="2:25" ht="63.75" x14ac:dyDescent="0.25">
      <c r="B342" s="2020"/>
      <c r="C342" s="2096"/>
      <c r="D342" s="2096"/>
      <c r="E342" s="2096"/>
      <c r="F342" s="787"/>
      <c r="G342" s="2096"/>
      <c r="H342" s="789" t="s">
        <v>26</v>
      </c>
      <c r="I342" s="1278" t="s">
        <v>19</v>
      </c>
      <c r="J342" s="1280">
        <v>70</v>
      </c>
      <c r="K342" s="1279">
        <v>75</v>
      </c>
      <c r="L342" s="2095"/>
      <c r="M342" s="1261">
        <v>80</v>
      </c>
      <c r="N342" s="2095"/>
      <c r="O342" s="1261">
        <v>85</v>
      </c>
      <c r="P342" s="2095"/>
      <c r="Q342" s="1261">
        <v>90</v>
      </c>
      <c r="R342" s="2095"/>
      <c r="S342" s="1261">
        <v>95</v>
      </c>
      <c r="T342" s="2095"/>
      <c r="U342" s="1261">
        <v>100</v>
      </c>
      <c r="V342" s="2095"/>
      <c r="W342" s="1261">
        <v>95</v>
      </c>
      <c r="X342" s="1278"/>
      <c r="Y342" s="1284" t="s">
        <v>12</v>
      </c>
    </row>
    <row r="343" spans="2:25" ht="63.75" x14ac:dyDescent="0.25">
      <c r="B343" s="2020"/>
      <c r="C343" s="2096"/>
      <c r="D343" s="2096"/>
      <c r="E343" s="2096"/>
      <c r="F343" s="795"/>
      <c r="G343" s="789" t="s">
        <v>3070</v>
      </c>
      <c r="H343" s="1484" t="s">
        <v>27</v>
      </c>
      <c r="I343" s="1278" t="s">
        <v>19</v>
      </c>
      <c r="J343" s="1279">
        <v>60</v>
      </c>
      <c r="K343" s="1279">
        <v>65</v>
      </c>
      <c r="L343" s="1486">
        <f>SUM(L344)</f>
        <v>9000000</v>
      </c>
      <c r="M343" s="1261">
        <v>70</v>
      </c>
      <c r="N343" s="1486">
        <f>SUM(N344)</f>
        <v>6000000</v>
      </c>
      <c r="O343" s="1261">
        <v>75</v>
      </c>
      <c r="P343" s="1486">
        <f>SUM(P344)</f>
        <v>8000000</v>
      </c>
      <c r="Q343" s="1261">
        <v>80</v>
      </c>
      <c r="R343" s="1486">
        <f>SUM(R344)</f>
        <v>9000000</v>
      </c>
      <c r="S343" s="1261">
        <v>85</v>
      </c>
      <c r="T343" s="1486">
        <f>SUM(T344)</f>
        <v>10000000</v>
      </c>
      <c r="U343" s="1261">
        <v>90</v>
      </c>
      <c r="V343" s="1486">
        <f>SUM(V344)</f>
        <v>10000000</v>
      </c>
      <c r="W343" s="1261">
        <v>435</v>
      </c>
      <c r="X343" s="1278" t="s">
        <v>12</v>
      </c>
      <c r="Y343" s="1284" t="s">
        <v>12</v>
      </c>
    </row>
    <row r="344" spans="2:25" ht="38.25" x14ac:dyDescent="0.25">
      <c r="B344" s="2020"/>
      <c r="C344" s="2096"/>
      <c r="D344" s="2096"/>
      <c r="E344" s="2096"/>
      <c r="F344" s="823"/>
      <c r="G344" s="789" t="s">
        <v>28</v>
      </c>
      <c r="H344" s="789" t="s">
        <v>29</v>
      </c>
      <c r="I344" s="790" t="s">
        <v>19</v>
      </c>
      <c r="J344" s="1279">
        <v>60</v>
      </c>
      <c r="K344" s="1279">
        <v>65</v>
      </c>
      <c r="L344" s="1486">
        <v>9000000</v>
      </c>
      <c r="M344" s="1261">
        <v>70</v>
      </c>
      <c r="N344" s="1486">
        <v>6000000</v>
      </c>
      <c r="O344" s="1261">
        <v>75</v>
      </c>
      <c r="P344" s="1486">
        <v>8000000</v>
      </c>
      <c r="Q344" s="1261">
        <v>80</v>
      </c>
      <c r="R344" s="1486">
        <v>9000000</v>
      </c>
      <c r="S344" s="1261">
        <v>85</v>
      </c>
      <c r="T344" s="1486">
        <v>10000000</v>
      </c>
      <c r="U344" s="1261">
        <v>90</v>
      </c>
      <c r="V344" s="1486">
        <v>10000000</v>
      </c>
      <c r="W344" s="1261">
        <v>85</v>
      </c>
      <c r="X344" s="1278"/>
      <c r="Y344" s="1284" t="s">
        <v>12</v>
      </c>
    </row>
    <row r="345" spans="2:25" x14ac:dyDescent="0.25">
      <c r="B345" s="1525" t="s">
        <v>1810</v>
      </c>
      <c r="C345" s="1281"/>
      <c r="D345" s="1281"/>
      <c r="E345" s="1281"/>
      <c r="F345" s="1282"/>
      <c r="G345" s="1283"/>
      <c r="H345" s="1283"/>
      <c r="I345" s="1278"/>
      <c r="J345" s="1279"/>
      <c r="K345" s="1279"/>
      <c r="L345" s="1523">
        <f>SUM(L335:L344)/3</f>
        <v>89000000</v>
      </c>
      <c r="M345" s="1261"/>
      <c r="N345" s="1523">
        <f>SUM(N335:N344)/3</f>
        <v>102000000</v>
      </c>
      <c r="O345" s="1261"/>
      <c r="P345" s="1523">
        <f>SUM(P335:P344)/3</f>
        <v>113000000</v>
      </c>
      <c r="Q345" s="1261"/>
      <c r="R345" s="1523">
        <f>SUM(R335:R344)/3</f>
        <v>125160000</v>
      </c>
      <c r="S345" s="1261"/>
      <c r="T345" s="1523">
        <f>SUM(T335:T344)/3</f>
        <v>137780000</v>
      </c>
      <c r="U345" s="1261"/>
      <c r="V345" s="1523">
        <f>SUM(V335:V344)/3</f>
        <v>137780000</v>
      </c>
      <c r="W345" s="1261"/>
      <c r="X345" s="1278"/>
      <c r="Y345" s="1284"/>
    </row>
    <row r="346" spans="2:25" x14ac:dyDescent="0.25">
      <c r="B346" s="1525"/>
      <c r="C346" s="1281"/>
      <c r="D346" s="1281"/>
      <c r="E346" s="1281"/>
      <c r="F346" s="1282"/>
      <c r="G346" s="1283"/>
      <c r="H346" s="1283"/>
      <c r="I346" s="1278"/>
      <c r="J346" s="1279"/>
      <c r="K346" s="1279"/>
      <c r="L346" s="1523"/>
      <c r="M346" s="1261"/>
      <c r="N346" s="1523"/>
      <c r="O346" s="1261"/>
      <c r="P346" s="1523"/>
      <c r="Q346" s="1261"/>
      <c r="R346" s="1523"/>
      <c r="S346" s="1261"/>
      <c r="T346" s="1523"/>
      <c r="U346" s="1261"/>
      <c r="V346" s="1523"/>
      <c r="W346" s="1261"/>
      <c r="X346" s="1278"/>
      <c r="Y346" s="1284"/>
    </row>
    <row r="347" spans="2:25" ht="13.5" thickBot="1" x14ac:dyDescent="0.3">
      <c r="B347" s="833" t="s">
        <v>1146</v>
      </c>
      <c r="C347" s="885"/>
      <c r="D347" s="885"/>
      <c r="E347" s="885"/>
      <c r="F347" s="885"/>
      <c r="G347" s="885"/>
      <c r="H347" s="885"/>
      <c r="I347" s="1249"/>
      <c r="J347" s="1260"/>
      <c r="K347" s="1260"/>
      <c r="L347" s="1270"/>
      <c r="M347" s="1261"/>
      <c r="N347" s="1270"/>
      <c r="O347" s="1261"/>
      <c r="P347" s="1270"/>
      <c r="Q347" s="1261"/>
      <c r="R347" s="1270"/>
      <c r="S347" s="1261"/>
      <c r="T347" s="1270"/>
      <c r="U347" s="1261"/>
      <c r="V347" s="1270"/>
      <c r="W347" s="1261"/>
      <c r="X347" s="885"/>
      <c r="Y347" s="1271"/>
    </row>
    <row r="348" spans="2:25" ht="13.5" thickTop="1" x14ac:dyDescent="0.25">
      <c r="B348" s="2045" t="s">
        <v>494</v>
      </c>
      <c r="C348" s="2040" t="s">
        <v>752</v>
      </c>
      <c r="D348" s="2040" t="s">
        <v>576</v>
      </c>
      <c r="E348" s="2040" t="s">
        <v>577</v>
      </c>
      <c r="F348" s="2040" t="s">
        <v>3127</v>
      </c>
      <c r="G348" s="2040" t="s">
        <v>3128</v>
      </c>
      <c r="H348" s="2040" t="s">
        <v>966</v>
      </c>
      <c r="I348" s="2040" t="s">
        <v>421</v>
      </c>
      <c r="J348" s="2055" t="s">
        <v>967</v>
      </c>
      <c r="K348" s="2053" t="s">
        <v>7</v>
      </c>
      <c r="L348" s="2054"/>
      <c r="M348" s="2054"/>
      <c r="N348" s="2054"/>
      <c r="O348" s="2054"/>
      <c r="P348" s="2054"/>
      <c r="Q348" s="2054"/>
      <c r="R348" s="2054"/>
      <c r="S348" s="2054"/>
      <c r="T348" s="2054"/>
      <c r="U348" s="2054"/>
      <c r="V348" s="2054"/>
      <c r="W348" s="2054"/>
      <c r="X348" s="2040" t="s">
        <v>653</v>
      </c>
      <c r="Y348" s="2049" t="s">
        <v>1147</v>
      </c>
    </row>
    <row r="349" spans="2:25" x14ac:dyDescent="0.25">
      <c r="B349" s="2046"/>
      <c r="C349" s="2041"/>
      <c r="D349" s="2041"/>
      <c r="E349" s="2041"/>
      <c r="F349" s="2041"/>
      <c r="G349" s="2041"/>
      <c r="H349" s="2041"/>
      <c r="I349" s="2041"/>
      <c r="J349" s="2052"/>
      <c r="K349" s="2051" t="s">
        <v>114</v>
      </c>
      <c r="L349" s="2038"/>
      <c r="M349" s="2051" t="s">
        <v>115</v>
      </c>
      <c r="N349" s="2038"/>
      <c r="O349" s="2051" t="s">
        <v>116</v>
      </c>
      <c r="P349" s="2038"/>
      <c r="Q349" s="2051" t="s">
        <v>117</v>
      </c>
      <c r="R349" s="2038"/>
      <c r="S349" s="2051" t="s">
        <v>118</v>
      </c>
      <c r="T349" s="2038"/>
      <c r="U349" s="2051" t="s">
        <v>119</v>
      </c>
      <c r="V349" s="2038"/>
      <c r="W349" s="2052" t="s">
        <v>968</v>
      </c>
      <c r="X349" s="2041"/>
      <c r="Y349" s="2050"/>
    </row>
    <row r="350" spans="2:25" x14ac:dyDescent="0.25">
      <c r="B350" s="2046"/>
      <c r="C350" s="2041"/>
      <c r="D350" s="2041"/>
      <c r="E350" s="2041"/>
      <c r="F350" s="2041"/>
      <c r="G350" s="2041"/>
      <c r="H350" s="2041"/>
      <c r="I350" s="2041"/>
      <c r="J350" s="2052"/>
      <c r="K350" s="1263" t="s">
        <v>9</v>
      </c>
      <c r="L350" s="1503" t="s">
        <v>3107</v>
      </c>
      <c r="M350" s="1263" t="s">
        <v>9</v>
      </c>
      <c r="N350" s="1503" t="s">
        <v>1355</v>
      </c>
      <c r="O350" s="1263" t="s">
        <v>9</v>
      </c>
      <c r="P350" s="1503" t="s">
        <v>1355</v>
      </c>
      <c r="Q350" s="1263" t="s">
        <v>9</v>
      </c>
      <c r="R350" s="1503" t="s">
        <v>1355</v>
      </c>
      <c r="S350" s="1263" t="s">
        <v>9</v>
      </c>
      <c r="T350" s="1503" t="s">
        <v>1355</v>
      </c>
      <c r="U350" s="1263" t="s">
        <v>9</v>
      </c>
      <c r="V350" s="1503" t="s">
        <v>1355</v>
      </c>
      <c r="W350" s="2052"/>
      <c r="X350" s="2041"/>
      <c r="Y350" s="2050"/>
    </row>
    <row r="351" spans="2:25" s="1239" customFormat="1" x14ac:dyDescent="0.25">
      <c r="B351" s="1504" t="s">
        <v>586</v>
      </c>
      <c r="C351" s="1448" t="s">
        <v>585</v>
      </c>
      <c r="D351" s="1448" t="s">
        <v>654</v>
      </c>
      <c r="E351" s="1448" t="s">
        <v>655</v>
      </c>
      <c r="F351" s="1505" t="s">
        <v>32</v>
      </c>
      <c r="G351" s="933">
        <v>6</v>
      </c>
      <c r="H351" s="1505">
        <v>7</v>
      </c>
      <c r="I351" s="1445" t="s">
        <v>3065</v>
      </c>
      <c r="J351" s="1269" t="s">
        <v>3066</v>
      </c>
      <c r="K351" s="1269" t="s">
        <v>3067</v>
      </c>
      <c r="L351" s="1506" t="s">
        <v>3068</v>
      </c>
      <c r="M351" s="1269" t="s">
        <v>3069</v>
      </c>
      <c r="N351" s="1506">
        <v>13</v>
      </c>
      <c r="O351" s="1269">
        <v>14</v>
      </c>
      <c r="P351" s="1506">
        <v>15</v>
      </c>
      <c r="Q351" s="1269">
        <v>16</v>
      </c>
      <c r="R351" s="1506">
        <v>17</v>
      </c>
      <c r="S351" s="1269">
        <v>18</v>
      </c>
      <c r="T351" s="1506">
        <v>19</v>
      </c>
      <c r="U351" s="1269">
        <v>20</v>
      </c>
      <c r="V351" s="1506">
        <v>21</v>
      </c>
      <c r="W351" s="1269">
        <v>22</v>
      </c>
      <c r="X351" s="1445">
        <v>23</v>
      </c>
      <c r="Y351" s="1507">
        <v>24</v>
      </c>
    </row>
    <row r="352" spans="2:25" ht="76.5" x14ac:dyDescent="0.25">
      <c r="B352" s="2022" t="s">
        <v>33</v>
      </c>
      <c r="C352" s="733" t="s">
        <v>34</v>
      </c>
      <c r="D352" s="1526" t="s">
        <v>3826</v>
      </c>
      <c r="E352" s="1526" t="s">
        <v>3827</v>
      </c>
      <c r="F352" s="1526" t="s">
        <v>3913</v>
      </c>
      <c r="G352" s="173" t="s">
        <v>3133</v>
      </c>
      <c r="H352" s="721" t="s">
        <v>35</v>
      </c>
      <c r="I352" s="1527" t="s">
        <v>19</v>
      </c>
      <c r="J352" s="1292">
        <v>90</v>
      </c>
      <c r="K352" s="1292">
        <v>91</v>
      </c>
      <c r="L352" s="1293"/>
      <c r="M352" s="1261">
        <v>92</v>
      </c>
      <c r="N352" s="1293"/>
      <c r="O352" s="1261">
        <v>93</v>
      </c>
      <c r="P352" s="1293"/>
      <c r="Q352" s="1261">
        <v>94</v>
      </c>
      <c r="R352" s="1293"/>
      <c r="S352" s="1261">
        <v>95</v>
      </c>
      <c r="T352" s="1293"/>
      <c r="U352" s="1261">
        <v>96</v>
      </c>
      <c r="V352" s="1293"/>
      <c r="W352" s="1261">
        <v>95</v>
      </c>
      <c r="X352" s="1527"/>
      <c r="Y352" s="1528" t="s">
        <v>1146</v>
      </c>
    </row>
    <row r="353" spans="2:25" ht="51" x14ac:dyDescent="0.25">
      <c r="B353" s="2023"/>
      <c r="C353" s="720"/>
      <c r="D353" s="720"/>
      <c r="E353" s="720"/>
      <c r="F353" s="733"/>
      <c r="G353" s="1285" t="s">
        <v>36</v>
      </c>
      <c r="H353" s="721" t="s">
        <v>37</v>
      </c>
      <c r="I353" s="1286" t="s">
        <v>19</v>
      </c>
      <c r="J353" s="1287">
        <v>100</v>
      </c>
      <c r="K353" s="1287">
        <v>20</v>
      </c>
      <c r="L353" s="1289">
        <f>SUM(L354:L367)</f>
        <v>818604</v>
      </c>
      <c r="M353" s="1261">
        <v>20</v>
      </c>
      <c r="N353" s="1289">
        <f>SUM(N354:N367)</f>
        <v>900464</v>
      </c>
      <c r="O353" s="1261">
        <v>15</v>
      </c>
      <c r="P353" s="1289">
        <f>SUM(P354:P367)</f>
        <v>979789</v>
      </c>
      <c r="Q353" s="1261">
        <v>15</v>
      </c>
      <c r="R353" s="1289">
        <f>SUM(R354:R367)</f>
        <v>1078167.5</v>
      </c>
      <c r="S353" s="1261">
        <v>15</v>
      </c>
      <c r="T353" s="1289">
        <f>SUM(T354:T367)</f>
        <v>1187784.1499999999</v>
      </c>
      <c r="U353" s="1261">
        <v>15</v>
      </c>
      <c r="V353" s="1289">
        <f>SUM(V354:V367)</f>
        <v>1303963.365</v>
      </c>
      <c r="W353" s="1261">
        <v>100</v>
      </c>
      <c r="X353" s="1527"/>
      <c r="Y353" s="1528" t="s">
        <v>1146</v>
      </c>
    </row>
    <row r="354" spans="2:25" ht="38.25" x14ac:dyDescent="0.25">
      <c r="B354" s="2023"/>
      <c r="C354" s="720"/>
      <c r="D354" s="720"/>
      <c r="E354" s="720"/>
      <c r="F354" s="720"/>
      <c r="G354" s="1285" t="s">
        <v>38</v>
      </c>
      <c r="H354" s="1285" t="s">
        <v>39</v>
      </c>
      <c r="I354" s="1286" t="s">
        <v>40</v>
      </c>
      <c r="J354" s="1287"/>
      <c r="K354" s="1288">
        <v>12</v>
      </c>
      <c r="L354" s="725">
        <v>1500</v>
      </c>
      <c r="M354" s="163">
        <v>12</v>
      </c>
      <c r="N354" s="1289">
        <v>1650</v>
      </c>
      <c r="O354" s="163">
        <v>12</v>
      </c>
      <c r="P354" s="1289">
        <v>1815</v>
      </c>
      <c r="Q354" s="163">
        <v>12</v>
      </c>
      <c r="R354" s="1289">
        <v>1996.5</v>
      </c>
      <c r="S354" s="163">
        <v>12</v>
      </c>
      <c r="T354" s="1289">
        <v>2196.15</v>
      </c>
      <c r="U354" s="163">
        <v>12</v>
      </c>
      <c r="V354" s="1289">
        <v>2415.7650000000003</v>
      </c>
      <c r="W354" s="1261"/>
      <c r="X354" s="1527"/>
      <c r="Y354" s="1528" t="s">
        <v>1146</v>
      </c>
    </row>
    <row r="355" spans="2:25" ht="76.5" x14ac:dyDescent="0.25">
      <c r="B355" s="2023"/>
      <c r="C355" s="720"/>
      <c r="D355" s="720"/>
      <c r="E355" s="720"/>
      <c r="F355" s="720"/>
      <c r="G355" s="1285" t="s">
        <v>41</v>
      </c>
      <c r="H355" s="1290" t="s">
        <v>42</v>
      </c>
      <c r="I355" s="1286" t="s">
        <v>40</v>
      </c>
      <c r="J355" s="1287"/>
      <c r="K355" s="1288">
        <v>12</v>
      </c>
      <c r="L355" s="725">
        <v>160000</v>
      </c>
      <c r="M355" s="163">
        <v>12</v>
      </c>
      <c r="N355" s="1289">
        <v>176000</v>
      </c>
      <c r="O355" s="163">
        <v>12</v>
      </c>
      <c r="P355" s="1289">
        <v>193600</v>
      </c>
      <c r="Q355" s="163">
        <v>12</v>
      </c>
      <c r="R355" s="1289">
        <v>212960</v>
      </c>
      <c r="S355" s="163">
        <v>12</v>
      </c>
      <c r="T355" s="1289">
        <v>234256</v>
      </c>
      <c r="U355" s="163">
        <v>12</v>
      </c>
      <c r="V355" s="1289">
        <v>257681.6</v>
      </c>
      <c r="W355" s="1261"/>
      <c r="X355" s="1527"/>
      <c r="Y355" s="1528" t="s">
        <v>1146</v>
      </c>
    </row>
    <row r="356" spans="2:25" ht="63.75" x14ac:dyDescent="0.25">
      <c r="B356" s="2023"/>
      <c r="C356" s="720"/>
      <c r="D356" s="720"/>
      <c r="E356" s="720"/>
      <c r="F356" s="720"/>
      <c r="G356" s="1285" t="s">
        <v>43</v>
      </c>
      <c r="H356" s="1285" t="s">
        <v>44</v>
      </c>
      <c r="I356" s="1286" t="s">
        <v>40</v>
      </c>
      <c r="J356" s="1287"/>
      <c r="K356" s="1288">
        <v>12</v>
      </c>
      <c r="L356" s="725">
        <v>75000</v>
      </c>
      <c r="M356" s="163">
        <v>12</v>
      </c>
      <c r="N356" s="1289">
        <v>82500</v>
      </c>
      <c r="O356" s="163">
        <v>12</v>
      </c>
      <c r="P356" s="1289">
        <v>90750</v>
      </c>
      <c r="Q356" s="163">
        <v>12</v>
      </c>
      <c r="R356" s="1289">
        <v>99825</v>
      </c>
      <c r="S356" s="163">
        <v>12</v>
      </c>
      <c r="T356" s="1289">
        <v>109807.5</v>
      </c>
      <c r="U356" s="163">
        <v>12</v>
      </c>
      <c r="V356" s="1289">
        <v>120788</v>
      </c>
      <c r="W356" s="1261"/>
      <c r="X356" s="1527"/>
      <c r="Y356" s="1528" t="s">
        <v>1146</v>
      </c>
    </row>
    <row r="357" spans="2:25" ht="38.25" x14ac:dyDescent="0.25">
      <c r="B357" s="2023"/>
      <c r="C357" s="720"/>
      <c r="D357" s="720"/>
      <c r="E357" s="720"/>
      <c r="F357" s="720"/>
      <c r="G357" s="1285" t="s">
        <v>45</v>
      </c>
      <c r="H357" s="1290" t="s">
        <v>46</v>
      </c>
      <c r="I357" s="1286" t="s">
        <v>40</v>
      </c>
      <c r="J357" s="1287"/>
      <c r="K357" s="1288">
        <v>12</v>
      </c>
      <c r="L357" s="725">
        <v>62904</v>
      </c>
      <c r="M357" s="163">
        <v>12</v>
      </c>
      <c r="N357" s="725">
        <v>69194</v>
      </c>
      <c r="O357" s="163">
        <v>12</v>
      </c>
      <c r="P357" s="725">
        <v>76114</v>
      </c>
      <c r="Q357" s="163">
        <v>12</v>
      </c>
      <c r="R357" s="725">
        <v>83725</v>
      </c>
      <c r="S357" s="163">
        <v>12</v>
      </c>
      <c r="T357" s="725">
        <v>92098</v>
      </c>
      <c r="U357" s="163">
        <v>12</v>
      </c>
      <c r="V357" s="725">
        <v>101308</v>
      </c>
      <c r="W357" s="1261"/>
      <c r="X357" s="1527"/>
      <c r="Y357" s="1528" t="s">
        <v>1146</v>
      </c>
    </row>
    <row r="358" spans="2:25" ht="76.5" x14ac:dyDescent="0.25">
      <c r="B358" s="2023"/>
      <c r="C358" s="720"/>
      <c r="D358" s="720"/>
      <c r="E358" s="720"/>
      <c r="F358" s="720"/>
      <c r="G358" s="1285" t="s">
        <v>47</v>
      </c>
      <c r="H358" s="1290" t="s">
        <v>48</v>
      </c>
      <c r="I358" s="1286" t="s">
        <v>40</v>
      </c>
      <c r="J358" s="1287"/>
      <c r="K358" s="1288">
        <v>12</v>
      </c>
      <c r="L358" s="725">
        <v>12000</v>
      </c>
      <c r="M358" s="163">
        <v>12</v>
      </c>
      <c r="N358" s="1289">
        <v>13200</v>
      </c>
      <c r="O358" s="163">
        <v>12</v>
      </c>
      <c r="P358" s="1289">
        <v>14520</v>
      </c>
      <c r="Q358" s="163">
        <v>12</v>
      </c>
      <c r="R358" s="1289">
        <v>15972</v>
      </c>
      <c r="S358" s="163">
        <v>12</v>
      </c>
      <c r="T358" s="1289">
        <v>17569</v>
      </c>
      <c r="U358" s="163">
        <v>12</v>
      </c>
      <c r="V358" s="1289">
        <v>19326</v>
      </c>
      <c r="W358" s="1261"/>
      <c r="X358" s="1527"/>
      <c r="Y358" s="1528" t="s">
        <v>1146</v>
      </c>
    </row>
    <row r="359" spans="2:25" ht="25.5" x14ac:dyDescent="0.25">
      <c r="B359" s="2023"/>
      <c r="C359" s="720"/>
      <c r="D359" s="720"/>
      <c r="E359" s="720"/>
      <c r="F359" s="720"/>
      <c r="G359" s="1285" t="s">
        <v>49</v>
      </c>
      <c r="H359" s="1290"/>
      <c r="I359" s="1286" t="s">
        <v>40</v>
      </c>
      <c r="J359" s="1287"/>
      <c r="K359" s="1288">
        <v>12</v>
      </c>
      <c r="L359" s="725">
        <v>245000</v>
      </c>
      <c r="M359" s="163">
        <v>12</v>
      </c>
      <c r="N359" s="1289">
        <v>269500</v>
      </c>
      <c r="O359" s="163">
        <v>12</v>
      </c>
      <c r="P359" s="1289">
        <v>296450</v>
      </c>
      <c r="Q359" s="163">
        <v>12</v>
      </c>
      <c r="R359" s="1289">
        <v>326095</v>
      </c>
      <c r="S359" s="163">
        <v>12</v>
      </c>
      <c r="T359" s="1289">
        <v>358704</v>
      </c>
      <c r="U359" s="163">
        <v>12</v>
      </c>
      <c r="V359" s="1289">
        <v>394574</v>
      </c>
      <c r="W359" s="1261"/>
      <c r="X359" s="1527"/>
      <c r="Y359" s="1528" t="s">
        <v>1146</v>
      </c>
    </row>
    <row r="360" spans="2:25" ht="25.5" x14ac:dyDescent="0.25">
      <c r="B360" s="2023"/>
      <c r="C360" s="720"/>
      <c r="D360" s="720"/>
      <c r="E360" s="720"/>
      <c r="F360" s="720"/>
      <c r="G360" s="1285" t="s">
        <v>50</v>
      </c>
      <c r="H360" s="1290" t="s">
        <v>51</v>
      </c>
      <c r="I360" s="1286" t="s">
        <v>40</v>
      </c>
      <c r="J360" s="1287"/>
      <c r="K360" s="1288">
        <v>12</v>
      </c>
      <c r="L360" s="725">
        <v>75000</v>
      </c>
      <c r="M360" s="163">
        <v>12</v>
      </c>
      <c r="N360" s="1289">
        <v>82500</v>
      </c>
      <c r="O360" s="163">
        <v>12</v>
      </c>
      <c r="P360" s="1289">
        <v>90750</v>
      </c>
      <c r="Q360" s="163">
        <v>12</v>
      </c>
      <c r="R360" s="1289">
        <v>99825</v>
      </c>
      <c r="S360" s="163">
        <v>12</v>
      </c>
      <c r="T360" s="1289">
        <v>109807.5</v>
      </c>
      <c r="U360" s="163">
        <v>12</v>
      </c>
      <c r="V360" s="1289">
        <v>120788</v>
      </c>
      <c r="W360" s="1261"/>
      <c r="X360" s="1527"/>
      <c r="Y360" s="1528" t="s">
        <v>1146</v>
      </c>
    </row>
    <row r="361" spans="2:25" ht="38.25" x14ac:dyDescent="0.25">
      <c r="B361" s="2023"/>
      <c r="C361" s="720"/>
      <c r="D361" s="720"/>
      <c r="E361" s="720"/>
      <c r="F361" s="720"/>
      <c r="G361" s="1285" t="s">
        <v>52</v>
      </c>
      <c r="H361" s="1290" t="s">
        <v>53</v>
      </c>
      <c r="I361" s="1286" t="s">
        <v>40</v>
      </c>
      <c r="J361" s="1287"/>
      <c r="K361" s="1288">
        <v>12</v>
      </c>
      <c r="L361" s="725">
        <v>50000</v>
      </c>
      <c r="M361" s="163">
        <v>12</v>
      </c>
      <c r="N361" s="1289">
        <v>55000</v>
      </c>
      <c r="O361" s="163">
        <v>12</v>
      </c>
      <c r="P361" s="1289">
        <v>60000</v>
      </c>
      <c r="Q361" s="163">
        <v>12</v>
      </c>
      <c r="R361" s="1289">
        <v>66000</v>
      </c>
      <c r="S361" s="163">
        <v>12</v>
      </c>
      <c r="T361" s="1289">
        <v>75000</v>
      </c>
      <c r="U361" s="163">
        <v>12</v>
      </c>
      <c r="V361" s="1289">
        <v>80000</v>
      </c>
      <c r="W361" s="1261"/>
      <c r="X361" s="1527"/>
      <c r="Y361" s="1528" t="s">
        <v>1146</v>
      </c>
    </row>
    <row r="362" spans="2:25" ht="38.25" x14ac:dyDescent="0.25">
      <c r="B362" s="2023"/>
      <c r="C362" s="720"/>
      <c r="D362" s="720"/>
      <c r="E362" s="720"/>
      <c r="F362" s="720"/>
      <c r="G362" s="1285" t="s">
        <v>54</v>
      </c>
      <c r="H362" s="1290" t="s">
        <v>55</v>
      </c>
      <c r="I362" s="1286" t="s">
        <v>40</v>
      </c>
      <c r="J362" s="1287"/>
      <c r="K362" s="1288">
        <v>12</v>
      </c>
      <c r="L362" s="725">
        <v>3000</v>
      </c>
      <c r="M362" s="163">
        <v>12</v>
      </c>
      <c r="N362" s="1289">
        <v>3300</v>
      </c>
      <c r="O362" s="163">
        <v>12</v>
      </c>
      <c r="P362" s="1289">
        <v>3630</v>
      </c>
      <c r="Q362" s="163">
        <v>12</v>
      </c>
      <c r="R362" s="1289">
        <v>3993</v>
      </c>
      <c r="S362" s="163">
        <v>12</v>
      </c>
      <c r="T362" s="1289">
        <v>4392</v>
      </c>
      <c r="U362" s="163">
        <v>12</v>
      </c>
      <c r="V362" s="1289">
        <v>4832</v>
      </c>
      <c r="W362" s="1261"/>
      <c r="X362" s="1527"/>
      <c r="Y362" s="1528" t="s">
        <v>1146</v>
      </c>
    </row>
    <row r="363" spans="2:25" ht="63.75" x14ac:dyDescent="0.25">
      <c r="B363" s="2023"/>
      <c r="C363" s="720"/>
      <c r="D363" s="720"/>
      <c r="E363" s="720"/>
      <c r="F363" s="720"/>
      <c r="G363" s="1285" t="s">
        <v>56</v>
      </c>
      <c r="H363" s="1290" t="s">
        <v>57</v>
      </c>
      <c r="I363" s="1286" t="s">
        <v>40</v>
      </c>
      <c r="J363" s="1287"/>
      <c r="K363" s="1288">
        <v>12</v>
      </c>
      <c r="L363" s="725">
        <v>6000</v>
      </c>
      <c r="M363" s="163">
        <v>12</v>
      </c>
      <c r="N363" s="1289">
        <v>6600</v>
      </c>
      <c r="O363" s="163">
        <v>12</v>
      </c>
      <c r="P363" s="1289">
        <v>7260</v>
      </c>
      <c r="Q363" s="163">
        <v>12</v>
      </c>
      <c r="R363" s="1289">
        <v>7986</v>
      </c>
      <c r="S363" s="163">
        <v>12</v>
      </c>
      <c r="T363" s="1289">
        <v>8185</v>
      </c>
      <c r="U363" s="163">
        <v>12</v>
      </c>
      <c r="V363" s="1289">
        <v>9004</v>
      </c>
      <c r="W363" s="1261"/>
      <c r="X363" s="1527"/>
      <c r="Y363" s="1528" t="s">
        <v>1146</v>
      </c>
    </row>
    <row r="364" spans="2:25" ht="63.75" x14ac:dyDescent="0.25">
      <c r="B364" s="2023"/>
      <c r="C364" s="720"/>
      <c r="D364" s="720"/>
      <c r="E364" s="720"/>
      <c r="F364" s="720"/>
      <c r="G364" s="1285" t="s">
        <v>58</v>
      </c>
      <c r="H364" s="1290" t="s">
        <v>59</v>
      </c>
      <c r="I364" s="1286" t="s">
        <v>40</v>
      </c>
      <c r="J364" s="1287"/>
      <c r="K364" s="1288">
        <v>12</v>
      </c>
      <c r="L364" s="725">
        <v>25000</v>
      </c>
      <c r="M364" s="163">
        <v>12</v>
      </c>
      <c r="N364" s="1289">
        <v>27500</v>
      </c>
      <c r="O364" s="163">
        <v>12</v>
      </c>
      <c r="P364" s="1289">
        <v>36000</v>
      </c>
      <c r="Q364" s="163">
        <v>12</v>
      </c>
      <c r="R364" s="1289">
        <v>40000</v>
      </c>
      <c r="S364" s="163">
        <v>12</v>
      </c>
      <c r="T364" s="1289">
        <v>44000</v>
      </c>
      <c r="U364" s="163">
        <v>12</v>
      </c>
      <c r="V364" s="1289">
        <v>48300</v>
      </c>
      <c r="W364" s="1261"/>
      <c r="X364" s="1527"/>
      <c r="Y364" s="1528" t="s">
        <v>1146</v>
      </c>
    </row>
    <row r="365" spans="2:25" ht="51" x14ac:dyDescent="0.25">
      <c r="B365" s="2023"/>
      <c r="C365" s="720"/>
      <c r="D365" s="720"/>
      <c r="E365" s="720"/>
      <c r="F365" s="720"/>
      <c r="G365" s="1285" t="s">
        <v>60</v>
      </c>
      <c r="H365" s="1290" t="s">
        <v>61</v>
      </c>
      <c r="I365" s="1286" t="s">
        <v>40</v>
      </c>
      <c r="J365" s="1287"/>
      <c r="K365" s="1288">
        <v>12</v>
      </c>
      <c r="L365" s="725">
        <v>70000</v>
      </c>
      <c r="M365" s="163">
        <v>12</v>
      </c>
      <c r="N365" s="1289">
        <v>77000</v>
      </c>
      <c r="O365" s="163">
        <v>12</v>
      </c>
      <c r="P365" s="1289">
        <v>84700</v>
      </c>
      <c r="Q365" s="163">
        <v>12</v>
      </c>
      <c r="R365" s="1289">
        <v>93170</v>
      </c>
      <c r="S365" s="163">
        <v>12</v>
      </c>
      <c r="T365" s="1289">
        <v>102487</v>
      </c>
      <c r="U365" s="163">
        <v>12</v>
      </c>
      <c r="V365" s="1289">
        <v>112736</v>
      </c>
      <c r="W365" s="1261"/>
      <c r="X365" s="1527"/>
      <c r="Y365" s="1528" t="s">
        <v>1146</v>
      </c>
    </row>
    <row r="366" spans="2:25" ht="25.5" x14ac:dyDescent="0.25">
      <c r="B366" s="2023"/>
      <c r="C366" s="720"/>
      <c r="D366" s="720"/>
      <c r="E366" s="720"/>
      <c r="F366" s="720"/>
      <c r="G366" s="1285" t="s">
        <v>62</v>
      </c>
      <c r="H366" s="1290"/>
      <c r="I366" s="1286" t="s">
        <v>40</v>
      </c>
      <c r="J366" s="1287"/>
      <c r="K366" s="1288">
        <v>12</v>
      </c>
      <c r="L366" s="725">
        <v>13200</v>
      </c>
      <c r="M366" s="163"/>
      <c r="N366" s="1289">
        <v>14520</v>
      </c>
      <c r="O366" s="163"/>
      <c r="P366" s="1289"/>
      <c r="Q366" s="163"/>
      <c r="R366" s="1289"/>
      <c r="S366" s="163"/>
      <c r="T366" s="1289"/>
      <c r="U366" s="163"/>
      <c r="V366" s="1289"/>
      <c r="W366" s="1261"/>
      <c r="X366" s="1527"/>
      <c r="Y366" s="1528" t="s">
        <v>1146</v>
      </c>
    </row>
    <row r="367" spans="2:25" ht="63.75" x14ac:dyDescent="0.25">
      <c r="B367" s="2023"/>
      <c r="C367" s="720"/>
      <c r="D367" s="720"/>
      <c r="E367" s="720"/>
      <c r="F367" s="720"/>
      <c r="G367" s="1290" t="s">
        <v>63</v>
      </c>
      <c r="H367" s="1290" t="s">
        <v>64</v>
      </c>
      <c r="I367" s="1286" t="s">
        <v>40</v>
      </c>
      <c r="J367" s="1287"/>
      <c r="K367" s="1288">
        <v>12</v>
      </c>
      <c r="L367" s="725">
        <v>20000</v>
      </c>
      <c r="M367" s="163">
        <v>12</v>
      </c>
      <c r="N367" s="1289">
        <v>22000</v>
      </c>
      <c r="O367" s="163">
        <v>12</v>
      </c>
      <c r="P367" s="1289">
        <v>24200</v>
      </c>
      <c r="Q367" s="163">
        <v>12</v>
      </c>
      <c r="R367" s="1289">
        <v>26620</v>
      </c>
      <c r="S367" s="163">
        <v>12</v>
      </c>
      <c r="T367" s="1289">
        <v>29282</v>
      </c>
      <c r="U367" s="163">
        <v>12</v>
      </c>
      <c r="V367" s="1289">
        <v>32210</v>
      </c>
      <c r="W367" s="1261"/>
      <c r="X367" s="1527"/>
      <c r="Y367" s="1528" t="s">
        <v>1146</v>
      </c>
    </row>
    <row r="368" spans="2:25" ht="76.5" x14ac:dyDescent="0.25">
      <c r="B368" s="2023"/>
      <c r="C368" s="720"/>
      <c r="D368" s="720"/>
      <c r="E368" s="720"/>
      <c r="F368" s="720"/>
      <c r="G368" s="1285" t="s">
        <v>65</v>
      </c>
      <c r="H368" s="1285" t="s">
        <v>66</v>
      </c>
      <c r="I368" s="1286" t="s">
        <v>19</v>
      </c>
      <c r="J368" s="1287">
        <v>100</v>
      </c>
      <c r="K368" s="1287">
        <v>20</v>
      </c>
      <c r="L368" s="1289">
        <f>SUM(L369:L372)</f>
        <v>220000</v>
      </c>
      <c r="M368" s="1261">
        <v>20</v>
      </c>
      <c r="N368" s="1289">
        <f>SUM(N369:N372)</f>
        <v>242000</v>
      </c>
      <c r="O368" s="1261">
        <v>15</v>
      </c>
      <c r="P368" s="1289">
        <f>SUM(P369:P372)</f>
        <v>266200</v>
      </c>
      <c r="Q368" s="1261">
        <v>15</v>
      </c>
      <c r="R368" s="1289">
        <f>SUM(R369:R372)</f>
        <v>292820</v>
      </c>
      <c r="S368" s="1261">
        <v>15</v>
      </c>
      <c r="T368" s="1289">
        <f>SUM(T369:T372)</f>
        <v>322102</v>
      </c>
      <c r="U368" s="1261">
        <v>15</v>
      </c>
      <c r="V368" s="1289">
        <f>SUM(V369:V372)</f>
        <v>354312</v>
      </c>
      <c r="W368" s="1261">
        <v>100</v>
      </c>
      <c r="X368" s="1527"/>
      <c r="Y368" s="1528" t="s">
        <v>1146</v>
      </c>
    </row>
    <row r="369" spans="2:27" ht="51" x14ac:dyDescent="0.25">
      <c r="B369" s="2023"/>
      <c r="C369" s="720"/>
      <c r="D369" s="720"/>
      <c r="E369" s="720"/>
      <c r="F369" s="720"/>
      <c r="G369" s="1285" t="s">
        <v>67</v>
      </c>
      <c r="H369" s="1290" t="s">
        <v>68</v>
      </c>
      <c r="I369" s="1286" t="s">
        <v>69</v>
      </c>
      <c r="J369" s="1288"/>
      <c r="K369" s="1288">
        <v>3</v>
      </c>
      <c r="L369" s="725">
        <v>100000</v>
      </c>
      <c r="M369" s="1261">
        <v>3</v>
      </c>
      <c r="N369" s="1289">
        <v>110000</v>
      </c>
      <c r="O369" s="1261">
        <v>3</v>
      </c>
      <c r="P369" s="1289">
        <v>121000</v>
      </c>
      <c r="Q369" s="1261">
        <v>3</v>
      </c>
      <c r="R369" s="1289">
        <v>133100</v>
      </c>
      <c r="S369" s="1261">
        <v>3</v>
      </c>
      <c r="T369" s="1289">
        <v>146410</v>
      </c>
      <c r="U369" s="1261">
        <v>3</v>
      </c>
      <c r="V369" s="1289">
        <v>161051</v>
      </c>
      <c r="W369" s="1261"/>
      <c r="X369" s="1527"/>
      <c r="Y369" s="1528" t="s">
        <v>1146</v>
      </c>
    </row>
    <row r="370" spans="2:27" ht="51" x14ac:dyDescent="0.25">
      <c r="B370" s="2023"/>
      <c r="C370" s="720"/>
      <c r="D370" s="720"/>
      <c r="E370" s="720"/>
      <c r="F370" s="720"/>
      <c r="G370" s="1285" t="s">
        <v>70</v>
      </c>
      <c r="H370" s="1285" t="s">
        <v>71</v>
      </c>
      <c r="I370" s="1286" t="s">
        <v>72</v>
      </c>
      <c r="J370" s="1287"/>
      <c r="K370" s="1288">
        <v>4</v>
      </c>
      <c r="L370" s="725">
        <v>100000</v>
      </c>
      <c r="M370" s="1261">
        <v>4</v>
      </c>
      <c r="N370" s="1289">
        <v>110000</v>
      </c>
      <c r="O370" s="1261">
        <v>4</v>
      </c>
      <c r="P370" s="1289">
        <v>121000</v>
      </c>
      <c r="Q370" s="1261">
        <v>4</v>
      </c>
      <c r="R370" s="1289">
        <v>133100</v>
      </c>
      <c r="S370" s="1261">
        <v>4</v>
      </c>
      <c r="T370" s="1289">
        <v>146410</v>
      </c>
      <c r="U370" s="1261">
        <v>4</v>
      </c>
      <c r="V370" s="1289">
        <v>161051</v>
      </c>
      <c r="W370" s="1261"/>
      <c r="X370" s="1527"/>
      <c r="Y370" s="1528" t="s">
        <v>1146</v>
      </c>
    </row>
    <row r="371" spans="2:27" ht="25.5" x14ac:dyDescent="0.25">
      <c r="B371" s="2023"/>
      <c r="C371" s="720"/>
      <c r="D371" s="720"/>
      <c r="E371" s="720"/>
      <c r="F371" s="720"/>
      <c r="G371" s="1290" t="s">
        <v>73</v>
      </c>
      <c r="H371" s="1285" t="s">
        <v>74</v>
      </c>
      <c r="I371" s="1286" t="s">
        <v>75</v>
      </c>
      <c r="J371" s="1287"/>
      <c r="K371" s="1288"/>
      <c r="L371" s="1289">
        <v>10000</v>
      </c>
      <c r="M371" s="1261">
        <v>0</v>
      </c>
      <c r="N371" s="1289">
        <v>11000</v>
      </c>
      <c r="O371" s="1261"/>
      <c r="P371" s="1289">
        <v>12100</v>
      </c>
      <c r="Q371" s="1261">
        <v>0</v>
      </c>
      <c r="R371" s="1289">
        <v>13310</v>
      </c>
      <c r="S371" s="1261"/>
      <c r="T371" s="1289">
        <v>14641</v>
      </c>
      <c r="U371" s="1261">
        <v>0</v>
      </c>
      <c r="V371" s="1289">
        <v>16105</v>
      </c>
      <c r="W371" s="1261"/>
      <c r="X371" s="1527"/>
      <c r="Y371" s="1528" t="s">
        <v>1146</v>
      </c>
    </row>
    <row r="372" spans="2:27" ht="25.5" x14ac:dyDescent="0.25">
      <c r="B372" s="2023"/>
      <c r="C372" s="720"/>
      <c r="D372" s="720"/>
      <c r="E372" s="720"/>
      <c r="F372" s="720"/>
      <c r="G372" s="1290" t="s">
        <v>73</v>
      </c>
      <c r="H372" s="1285" t="s">
        <v>76</v>
      </c>
      <c r="I372" s="1286" t="s">
        <v>75</v>
      </c>
      <c r="J372" s="1287"/>
      <c r="K372" s="1287"/>
      <c r="L372" s="1289">
        <v>10000</v>
      </c>
      <c r="M372" s="1261">
        <v>0</v>
      </c>
      <c r="N372" s="1289">
        <v>11000</v>
      </c>
      <c r="O372" s="1261"/>
      <c r="P372" s="1289">
        <v>12100</v>
      </c>
      <c r="Q372" s="1261">
        <v>0</v>
      </c>
      <c r="R372" s="1289">
        <v>13310</v>
      </c>
      <c r="S372" s="1261"/>
      <c r="T372" s="1289">
        <v>14641</v>
      </c>
      <c r="U372" s="1261">
        <v>0</v>
      </c>
      <c r="V372" s="1289">
        <v>16105</v>
      </c>
      <c r="W372" s="1261"/>
      <c r="X372" s="1527"/>
      <c r="Y372" s="1528" t="s">
        <v>1146</v>
      </c>
    </row>
    <row r="373" spans="2:27" ht="76.5" x14ac:dyDescent="0.25">
      <c r="B373" s="2023"/>
      <c r="C373" s="720"/>
      <c r="D373" s="720"/>
      <c r="E373" s="720"/>
      <c r="F373" s="720"/>
      <c r="G373" s="721" t="s">
        <v>77</v>
      </c>
      <c r="H373" s="721" t="s">
        <v>3136</v>
      </c>
      <c r="I373" s="1286" t="s">
        <v>79</v>
      </c>
      <c r="J373" s="1287">
        <v>25</v>
      </c>
      <c r="K373" s="1287">
        <v>5</v>
      </c>
      <c r="L373" s="725">
        <f>SUM(L374)</f>
        <v>6000</v>
      </c>
      <c r="M373" s="163">
        <v>6</v>
      </c>
      <c r="N373" s="725">
        <f>SUM(N374)</f>
        <v>6600</v>
      </c>
      <c r="O373" s="163">
        <v>5</v>
      </c>
      <c r="P373" s="725">
        <f>SUM(P374)</f>
        <v>7260</v>
      </c>
      <c r="Q373" s="163">
        <v>5</v>
      </c>
      <c r="R373" s="725">
        <f>SUM(R374)</f>
        <v>7986</v>
      </c>
      <c r="S373" s="163">
        <v>5</v>
      </c>
      <c r="T373" s="725">
        <f>SUM(T374)</f>
        <v>8785</v>
      </c>
      <c r="U373" s="163">
        <v>5</v>
      </c>
      <c r="V373" s="725">
        <f>SUM(V374)</f>
        <v>9663</v>
      </c>
      <c r="W373" s="1261">
        <f>U373+S373+Q373+O373+M373+K373</f>
        <v>31</v>
      </c>
      <c r="X373" s="1527"/>
      <c r="Y373" s="1528" t="s">
        <v>1146</v>
      </c>
    </row>
    <row r="374" spans="2:27" ht="63.75" x14ac:dyDescent="0.25">
      <c r="B374" s="2023"/>
      <c r="C374" s="720"/>
      <c r="D374" s="720"/>
      <c r="E374" s="720"/>
      <c r="F374" s="720"/>
      <c r="G374" s="721" t="s">
        <v>80</v>
      </c>
      <c r="H374" s="721" t="s">
        <v>81</v>
      </c>
      <c r="I374" s="723" t="s">
        <v>79</v>
      </c>
      <c r="J374" s="1287"/>
      <c r="K374" s="1288">
        <v>2</v>
      </c>
      <c r="L374" s="725">
        <v>6000</v>
      </c>
      <c r="M374" s="163">
        <v>6</v>
      </c>
      <c r="N374" s="1289">
        <v>6600</v>
      </c>
      <c r="O374" s="163">
        <v>5</v>
      </c>
      <c r="P374" s="1289">
        <v>7260</v>
      </c>
      <c r="Q374" s="163">
        <v>5</v>
      </c>
      <c r="R374" s="1289">
        <v>7986</v>
      </c>
      <c r="S374" s="163">
        <v>5</v>
      </c>
      <c r="T374" s="1289">
        <v>8785</v>
      </c>
      <c r="U374" s="163">
        <v>5</v>
      </c>
      <c r="V374" s="1289">
        <v>9663</v>
      </c>
      <c r="W374" s="1261"/>
      <c r="X374" s="1527"/>
      <c r="Y374" s="1528" t="s">
        <v>1146</v>
      </c>
    </row>
    <row r="375" spans="2:27" x14ac:dyDescent="0.25">
      <c r="B375" s="1746"/>
      <c r="C375" s="720"/>
      <c r="D375" s="720"/>
      <c r="E375" s="720"/>
      <c r="F375" s="720"/>
      <c r="G375" s="730"/>
      <c r="H375" s="721"/>
      <c r="I375" s="723"/>
      <c r="J375" s="1287"/>
      <c r="K375" s="1288"/>
      <c r="L375" s="725"/>
      <c r="M375" s="163"/>
      <c r="N375" s="1289"/>
      <c r="O375" s="163"/>
      <c r="P375" s="1289"/>
      <c r="Q375" s="163"/>
      <c r="R375" s="1289"/>
      <c r="S375" s="163"/>
      <c r="T375" s="1289"/>
      <c r="U375" s="163"/>
      <c r="V375" s="1289"/>
      <c r="W375" s="1261"/>
      <c r="X375" s="1530"/>
      <c r="Y375" s="1528"/>
    </row>
    <row r="376" spans="2:27" ht="102" x14ac:dyDescent="0.25">
      <c r="B376" s="2022" t="s">
        <v>3888</v>
      </c>
      <c r="C376" s="734" t="s">
        <v>3889</v>
      </c>
      <c r="D376" s="734" t="s">
        <v>3890</v>
      </c>
      <c r="E376" s="721" t="s">
        <v>3891</v>
      </c>
      <c r="F376" s="1529" t="s">
        <v>3828</v>
      </c>
      <c r="G376" s="1253" t="s">
        <v>3893</v>
      </c>
      <c r="H376" s="1529"/>
      <c r="I376" s="723" t="s">
        <v>19</v>
      </c>
      <c r="J376" s="885">
        <v>0</v>
      </c>
      <c r="K376" s="1287">
        <v>100</v>
      </c>
      <c r="L376" s="725"/>
      <c r="M376" s="163">
        <v>100</v>
      </c>
      <c r="N376" s="725"/>
      <c r="O376" s="163">
        <v>100</v>
      </c>
      <c r="P376" s="725"/>
      <c r="Q376" s="163">
        <v>100</v>
      </c>
      <c r="R376" s="725"/>
      <c r="S376" s="163">
        <v>100</v>
      </c>
      <c r="T376" s="725"/>
      <c r="U376" s="163">
        <v>100</v>
      </c>
      <c r="V376" s="725"/>
      <c r="W376" s="1261">
        <v>100</v>
      </c>
      <c r="X376" s="1530"/>
      <c r="Y376" s="1528" t="s">
        <v>1146</v>
      </c>
    </row>
    <row r="377" spans="2:27" ht="63.75" x14ac:dyDescent="0.25">
      <c r="B377" s="2023"/>
      <c r="C377" s="740"/>
      <c r="D377" s="740"/>
      <c r="E377" s="721" t="s">
        <v>3892</v>
      </c>
      <c r="F377" s="721" t="s">
        <v>3829</v>
      </c>
      <c r="G377" s="1473" t="s">
        <v>3894</v>
      </c>
      <c r="H377" s="721"/>
      <c r="I377" s="735" t="s">
        <v>19</v>
      </c>
      <c r="J377" s="1601">
        <v>0</v>
      </c>
      <c r="K377" s="1619">
        <v>45</v>
      </c>
      <c r="L377" s="1620"/>
      <c r="M377" s="1621">
        <v>47</v>
      </c>
      <c r="N377" s="1620"/>
      <c r="O377" s="1621">
        <v>50</v>
      </c>
      <c r="P377" s="1620"/>
      <c r="Q377" s="1621">
        <v>60</v>
      </c>
      <c r="R377" s="1620"/>
      <c r="S377" s="1621">
        <v>70</v>
      </c>
      <c r="T377" s="1620"/>
      <c r="U377" s="1621">
        <v>70</v>
      </c>
      <c r="V377" s="1620"/>
      <c r="W377" s="1621">
        <v>70</v>
      </c>
      <c r="Y377" s="1622" t="s">
        <v>1146</v>
      </c>
    </row>
    <row r="378" spans="2:27" ht="38.25" x14ac:dyDescent="0.25">
      <c r="B378" s="2023"/>
      <c r="C378" s="720"/>
      <c r="D378" s="720"/>
      <c r="E378" s="720"/>
      <c r="F378" s="232"/>
      <c r="G378" s="733" t="s">
        <v>82</v>
      </c>
      <c r="H378" s="1196" t="s">
        <v>3895</v>
      </c>
      <c r="I378" s="1249" t="s">
        <v>19</v>
      </c>
      <c r="J378" s="885">
        <v>100</v>
      </c>
      <c r="K378" s="1287">
        <v>100</v>
      </c>
      <c r="L378" s="1436">
        <f>SUM(L379:L392)</f>
        <v>3711994</v>
      </c>
      <c r="M378" s="1287">
        <v>100</v>
      </c>
      <c r="N378" s="1436">
        <f>SUM(N379:N392)</f>
        <v>3955916</v>
      </c>
      <c r="O378" s="1287">
        <v>100</v>
      </c>
      <c r="P378" s="1436">
        <f>SUM(P379:P392)</f>
        <v>4328665</v>
      </c>
      <c r="Q378" s="1287">
        <v>100</v>
      </c>
      <c r="R378" s="1436">
        <f>SUM(R379:R392)</f>
        <v>3981532</v>
      </c>
      <c r="S378" s="1287">
        <v>100</v>
      </c>
      <c r="T378" s="1436">
        <f>SUM(T379:T392)</f>
        <v>4374484</v>
      </c>
      <c r="U378" s="1287">
        <v>100</v>
      </c>
      <c r="V378" s="1436">
        <f>SUM(V379:V392)</f>
        <v>4796932</v>
      </c>
      <c r="W378" s="1287">
        <v>100</v>
      </c>
      <c r="X378" s="885"/>
      <c r="Y378" s="1622" t="s">
        <v>1146</v>
      </c>
      <c r="AA378" s="1238">
        <v>90</v>
      </c>
    </row>
    <row r="379" spans="2:27" ht="51" x14ac:dyDescent="0.25">
      <c r="B379" s="2023"/>
      <c r="C379" s="720"/>
      <c r="D379" s="720"/>
      <c r="E379" s="720"/>
      <c r="F379" s="720"/>
      <c r="G379" s="1285" t="s">
        <v>83</v>
      </c>
      <c r="H379" s="722" t="s">
        <v>84</v>
      </c>
      <c r="I379" s="1286" t="s">
        <v>40</v>
      </c>
      <c r="J379" s="1287"/>
      <c r="K379" s="1287">
        <v>12</v>
      </c>
      <c r="L379" s="725">
        <v>629000</v>
      </c>
      <c r="M379" s="163">
        <v>12</v>
      </c>
      <c r="N379" s="1289">
        <v>691900</v>
      </c>
      <c r="O379" s="163">
        <v>12</v>
      </c>
      <c r="P379" s="1289">
        <v>761090</v>
      </c>
      <c r="Q379" s="163">
        <v>12</v>
      </c>
      <c r="R379" s="1289">
        <v>837199</v>
      </c>
      <c r="S379" s="163">
        <v>12</v>
      </c>
      <c r="T379" s="1289">
        <v>920919</v>
      </c>
      <c r="U379" s="163">
        <v>12</v>
      </c>
      <c r="V379" s="1289">
        <v>1013011</v>
      </c>
      <c r="W379" s="1261"/>
      <c r="X379" s="1527"/>
      <c r="Y379" s="1528" t="s">
        <v>1146</v>
      </c>
    </row>
    <row r="380" spans="2:27" ht="89.25" x14ac:dyDescent="0.25">
      <c r="B380" s="2023"/>
      <c r="C380" s="720"/>
      <c r="D380" s="720"/>
      <c r="E380" s="720"/>
      <c r="F380" s="720"/>
      <c r="G380" s="722" t="s">
        <v>85</v>
      </c>
      <c r="H380" s="1285" t="s">
        <v>86</v>
      </c>
      <c r="I380" s="1286" t="s">
        <v>40</v>
      </c>
      <c r="J380" s="1287"/>
      <c r="K380" s="1287">
        <v>12</v>
      </c>
      <c r="L380" s="1289">
        <v>230000</v>
      </c>
      <c r="M380" s="1261">
        <v>12</v>
      </c>
      <c r="N380" s="1289">
        <v>253000</v>
      </c>
      <c r="O380" s="1261">
        <v>12</v>
      </c>
      <c r="P380" s="1289">
        <v>278300</v>
      </c>
      <c r="Q380" s="1261">
        <v>12</v>
      </c>
      <c r="R380" s="1289">
        <v>306130</v>
      </c>
      <c r="S380" s="1261">
        <v>12</v>
      </c>
      <c r="T380" s="1289">
        <v>336743</v>
      </c>
      <c r="U380" s="1261">
        <v>12</v>
      </c>
      <c r="V380" s="1289">
        <v>370417</v>
      </c>
      <c r="W380" s="1261"/>
      <c r="X380" s="1527"/>
      <c r="Y380" s="1528" t="s">
        <v>1146</v>
      </c>
    </row>
    <row r="381" spans="2:27" ht="89.25" x14ac:dyDescent="0.25">
      <c r="B381" s="2023"/>
      <c r="C381" s="720"/>
      <c r="D381" s="720"/>
      <c r="E381" s="720"/>
      <c r="F381" s="720"/>
      <c r="G381" s="722" t="s">
        <v>87</v>
      </c>
      <c r="H381" s="1285" t="s">
        <v>88</v>
      </c>
      <c r="I381" s="1286" t="s">
        <v>40</v>
      </c>
      <c r="J381" s="1287"/>
      <c r="K381" s="1287">
        <v>12</v>
      </c>
      <c r="L381" s="725">
        <v>70000</v>
      </c>
      <c r="M381" s="163">
        <v>12</v>
      </c>
      <c r="N381" s="1289">
        <v>77000</v>
      </c>
      <c r="O381" s="163">
        <v>12</v>
      </c>
      <c r="P381" s="1289">
        <v>84700</v>
      </c>
      <c r="Q381" s="163">
        <v>12</v>
      </c>
      <c r="R381" s="1289">
        <v>93170</v>
      </c>
      <c r="S381" s="163">
        <v>12</v>
      </c>
      <c r="T381" s="1289">
        <v>102487</v>
      </c>
      <c r="U381" s="163">
        <v>12</v>
      </c>
      <c r="V381" s="1289">
        <v>112736</v>
      </c>
      <c r="W381" s="1261"/>
      <c r="X381" s="1527"/>
      <c r="Y381" s="1528" t="s">
        <v>1146</v>
      </c>
    </row>
    <row r="382" spans="2:27" ht="51" x14ac:dyDescent="0.25">
      <c r="B382" s="2023"/>
      <c r="C382" s="720"/>
      <c r="D382" s="720"/>
      <c r="E382" s="720"/>
      <c r="F382" s="720"/>
      <c r="G382" s="1285" t="s">
        <v>89</v>
      </c>
      <c r="H382" s="1285" t="s">
        <v>90</v>
      </c>
      <c r="I382" s="1286" t="s">
        <v>79</v>
      </c>
      <c r="J382" s="1287"/>
      <c r="K382" s="1287">
        <v>1</v>
      </c>
      <c r="L382" s="1289">
        <v>75000</v>
      </c>
      <c r="M382" s="1261">
        <v>1</v>
      </c>
      <c r="N382" s="1289">
        <v>82500</v>
      </c>
      <c r="O382" s="1261">
        <v>1</v>
      </c>
      <c r="P382" s="1289">
        <v>90750</v>
      </c>
      <c r="Q382" s="1261">
        <v>1</v>
      </c>
      <c r="R382" s="1289">
        <v>99825</v>
      </c>
      <c r="S382" s="1261">
        <v>1</v>
      </c>
      <c r="T382" s="1289">
        <v>109807</v>
      </c>
      <c r="U382" s="1261">
        <v>1</v>
      </c>
      <c r="V382" s="1289">
        <v>120788</v>
      </c>
      <c r="W382" s="1261"/>
      <c r="X382" s="1527"/>
      <c r="Y382" s="1528" t="s">
        <v>1146</v>
      </c>
    </row>
    <row r="383" spans="2:27" ht="76.5" x14ac:dyDescent="0.25">
      <c r="B383" s="2023"/>
      <c r="C383" s="720"/>
      <c r="D383" s="720"/>
      <c r="E383" s="720"/>
      <c r="F383" s="1291"/>
      <c r="G383" s="721" t="s">
        <v>91</v>
      </c>
      <c r="H383" s="1285" t="s">
        <v>92</v>
      </c>
      <c r="I383" s="1286" t="s">
        <v>40</v>
      </c>
      <c r="J383" s="1287"/>
      <c r="K383" s="1287">
        <v>12</v>
      </c>
      <c r="L383" s="725">
        <v>50000</v>
      </c>
      <c r="M383" s="163">
        <v>12</v>
      </c>
      <c r="N383" s="1289">
        <v>55000</v>
      </c>
      <c r="O383" s="163">
        <v>12</v>
      </c>
      <c r="P383" s="1289">
        <v>60000</v>
      </c>
      <c r="Q383" s="163">
        <v>12</v>
      </c>
      <c r="R383" s="1289">
        <v>66000</v>
      </c>
      <c r="S383" s="163">
        <v>12</v>
      </c>
      <c r="T383" s="1289">
        <v>75000</v>
      </c>
      <c r="U383" s="163">
        <v>12</v>
      </c>
      <c r="V383" s="1289">
        <v>80000</v>
      </c>
      <c r="W383" s="1261"/>
      <c r="X383" s="1527"/>
      <c r="Y383" s="1528" t="s">
        <v>1146</v>
      </c>
    </row>
    <row r="384" spans="2:27" ht="63.75" x14ac:dyDescent="0.25">
      <c r="B384" s="2023"/>
      <c r="C384" s="720"/>
      <c r="D384" s="720"/>
      <c r="E384" s="720"/>
      <c r="F384" s="1291"/>
      <c r="G384" s="1290" t="s">
        <v>93</v>
      </c>
      <c r="H384" s="1285" t="s">
        <v>94</v>
      </c>
      <c r="I384" s="1286" t="s">
        <v>69</v>
      </c>
      <c r="J384" s="1287"/>
      <c r="K384" s="1288">
        <v>1</v>
      </c>
      <c r="L384" s="1289">
        <v>1111700</v>
      </c>
      <c r="M384" s="1261">
        <v>1</v>
      </c>
      <c r="N384" s="1289">
        <v>650000</v>
      </c>
      <c r="O384" s="1261">
        <v>1</v>
      </c>
      <c r="P384" s="1289">
        <v>1345157</v>
      </c>
      <c r="Q384" s="1261">
        <v>1</v>
      </c>
      <c r="R384" s="1289">
        <v>1479673</v>
      </c>
      <c r="S384" s="1261">
        <v>1</v>
      </c>
      <c r="T384" s="1289">
        <v>1627640</v>
      </c>
      <c r="U384" s="1261">
        <v>1</v>
      </c>
      <c r="V384" s="1289">
        <v>1790404</v>
      </c>
      <c r="W384" s="1261"/>
      <c r="X384" s="1527"/>
      <c r="Y384" s="1528" t="s">
        <v>1146</v>
      </c>
    </row>
    <row r="385" spans="2:25" ht="76.5" x14ac:dyDescent="0.25">
      <c r="B385" s="2023"/>
      <c r="C385" s="720"/>
      <c r="D385" s="720"/>
      <c r="E385" s="720"/>
      <c r="F385" s="1291"/>
      <c r="G385" s="1290" t="s">
        <v>95</v>
      </c>
      <c r="H385" s="1285" t="s">
        <v>96</v>
      </c>
      <c r="I385" s="1286" t="s">
        <v>97</v>
      </c>
      <c r="J385" s="1287"/>
      <c r="K385" s="1287">
        <v>10</v>
      </c>
      <c r="L385" s="1289">
        <v>86378</v>
      </c>
      <c r="M385" s="1261">
        <v>10</v>
      </c>
      <c r="N385" s="1289">
        <v>95016</v>
      </c>
      <c r="O385" s="1261">
        <v>10</v>
      </c>
      <c r="P385" s="1289">
        <v>104518</v>
      </c>
      <c r="Q385" s="1261">
        <v>10</v>
      </c>
      <c r="R385" s="1289">
        <v>114970</v>
      </c>
      <c r="S385" s="1261">
        <v>10</v>
      </c>
      <c r="T385" s="1289">
        <v>126467</v>
      </c>
      <c r="U385" s="1261">
        <v>10</v>
      </c>
      <c r="V385" s="1289">
        <v>139114</v>
      </c>
      <c r="W385" s="1261"/>
      <c r="X385" s="1527"/>
      <c r="Y385" s="1528" t="s">
        <v>1146</v>
      </c>
    </row>
    <row r="386" spans="2:25" ht="102" x14ac:dyDescent="0.25">
      <c r="B386" s="2023"/>
      <c r="C386" s="720"/>
      <c r="D386" s="720"/>
      <c r="E386" s="720"/>
      <c r="F386" s="1291"/>
      <c r="G386" s="1290" t="s">
        <v>98</v>
      </c>
      <c r="H386" s="1285" t="s">
        <v>99</v>
      </c>
      <c r="I386" s="1286" t="s">
        <v>100</v>
      </c>
      <c r="J386" s="1287"/>
      <c r="K386" s="1287"/>
      <c r="L386" s="725">
        <v>50000</v>
      </c>
      <c r="M386" s="163"/>
      <c r="N386" s="1289">
        <v>55000</v>
      </c>
      <c r="O386" s="163"/>
      <c r="P386" s="1289">
        <v>60000</v>
      </c>
      <c r="Q386" s="163"/>
      <c r="R386" s="1289">
        <v>66000</v>
      </c>
      <c r="S386" s="163"/>
      <c r="T386" s="1289">
        <v>75000</v>
      </c>
      <c r="U386" s="163"/>
      <c r="V386" s="1289">
        <v>80000</v>
      </c>
      <c r="W386" s="1261"/>
      <c r="X386" s="1527"/>
      <c r="Y386" s="1528" t="s">
        <v>1146</v>
      </c>
    </row>
    <row r="387" spans="2:25" ht="51" x14ac:dyDescent="0.25">
      <c r="B387" s="2023"/>
      <c r="C387" s="720"/>
      <c r="D387" s="720"/>
      <c r="E387" s="720"/>
      <c r="F387" s="1291"/>
      <c r="G387" s="1290" t="s">
        <v>101</v>
      </c>
      <c r="H387" s="1285" t="s">
        <v>102</v>
      </c>
      <c r="I387" s="1286" t="s">
        <v>103</v>
      </c>
      <c r="J387" s="1287"/>
      <c r="K387" s="1287">
        <v>2</v>
      </c>
      <c r="L387" s="1289">
        <v>150000</v>
      </c>
      <c r="M387" s="163">
        <v>2</v>
      </c>
      <c r="N387" s="1289">
        <v>165000</v>
      </c>
      <c r="O387" s="163">
        <v>2</v>
      </c>
      <c r="P387" s="725">
        <v>181500</v>
      </c>
      <c r="Q387" s="163">
        <v>2</v>
      </c>
      <c r="R387" s="725">
        <v>199650</v>
      </c>
      <c r="S387" s="163">
        <v>2</v>
      </c>
      <c r="T387" s="725">
        <v>219615</v>
      </c>
      <c r="U387" s="163">
        <v>2</v>
      </c>
      <c r="V387" s="725">
        <v>241576</v>
      </c>
      <c r="W387" s="1261"/>
      <c r="X387" s="1527"/>
      <c r="Y387" s="1528" t="s">
        <v>1146</v>
      </c>
    </row>
    <row r="388" spans="2:25" ht="102" x14ac:dyDescent="0.25">
      <c r="B388" s="2023"/>
      <c r="C388" s="720"/>
      <c r="D388" s="720"/>
      <c r="E388" s="720"/>
      <c r="F388" s="1291"/>
      <c r="G388" s="1290" t="s">
        <v>104</v>
      </c>
      <c r="H388" s="1285" t="s">
        <v>105</v>
      </c>
      <c r="I388" s="1286" t="s">
        <v>19</v>
      </c>
      <c r="J388" s="1287"/>
      <c r="K388" s="1287"/>
      <c r="L388" s="1289">
        <v>110000</v>
      </c>
      <c r="M388" s="1261"/>
      <c r="N388" s="1289">
        <v>121000</v>
      </c>
      <c r="O388" s="1261"/>
      <c r="P388" s="1289">
        <v>133100</v>
      </c>
      <c r="Q388" s="1261"/>
      <c r="R388" s="1289">
        <v>146410</v>
      </c>
      <c r="S388" s="1261"/>
      <c r="T388" s="1289">
        <v>161051</v>
      </c>
      <c r="U388" s="1261"/>
      <c r="V388" s="1289">
        <v>177156</v>
      </c>
      <c r="W388" s="1261"/>
      <c r="X388" s="1527"/>
      <c r="Y388" s="1528" t="s">
        <v>1146</v>
      </c>
    </row>
    <row r="389" spans="2:25" ht="127.5" x14ac:dyDescent="0.25">
      <c r="B389" s="2023"/>
      <c r="C389" s="720"/>
      <c r="D389" s="720"/>
      <c r="E389" s="720"/>
      <c r="F389" s="1291"/>
      <c r="G389" s="721" t="s">
        <v>107</v>
      </c>
      <c r="H389" s="1285" t="s">
        <v>108</v>
      </c>
      <c r="I389" s="1286" t="s">
        <v>109</v>
      </c>
      <c r="J389" s="1287"/>
      <c r="K389" s="1287">
        <v>26</v>
      </c>
      <c r="L389" s="725">
        <v>20000</v>
      </c>
      <c r="M389" s="163">
        <v>26</v>
      </c>
      <c r="N389" s="1289">
        <v>22000</v>
      </c>
      <c r="O389" s="163">
        <v>26</v>
      </c>
      <c r="P389" s="1289">
        <v>24200</v>
      </c>
      <c r="Q389" s="163">
        <v>26</v>
      </c>
      <c r="R389" s="1289">
        <v>26620</v>
      </c>
      <c r="S389" s="163">
        <v>26</v>
      </c>
      <c r="T389" s="1289">
        <v>29282</v>
      </c>
      <c r="U389" s="163">
        <v>26</v>
      </c>
      <c r="V389" s="1289">
        <v>32210</v>
      </c>
      <c r="W389" s="1261"/>
      <c r="X389" s="1527"/>
      <c r="Y389" s="1528" t="s">
        <v>1146</v>
      </c>
    </row>
    <row r="390" spans="2:25" ht="63.75" x14ac:dyDescent="0.25">
      <c r="B390" s="2023"/>
      <c r="C390" s="720"/>
      <c r="D390" s="720"/>
      <c r="E390" s="720"/>
      <c r="F390" s="1291"/>
      <c r="G390" s="721" t="s">
        <v>110</v>
      </c>
      <c r="H390" s="721" t="s">
        <v>111</v>
      </c>
      <c r="I390" s="1286" t="s">
        <v>69</v>
      </c>
      <c r="J390" s="1292"/>
      <c r="K390" s="1292">
        <v>6</v>
      </c>
      <c r="L390" s="1289">
        <v>694916</v>
      </c>
      <c r="M390" s="1261">
        <v>13</v>
      </c>
      <c r="N390" s="1293">
        <v>1220000</v>
      </c>
      <c r="O390" s="1261">
        <v>7</v>
      </c>
      <c r="P390" s="1289">
        <v>700000</v>
      </c>
      <c r="Q390" s="1261">
        <v>0</v>
      </c>
      <c r="R390" s="1289"/>
      <c r="S390" s="1261">
        <v>0</v>
      </c>
      <c r="T390" s="1289"/>
      <c r="U390" s="1261">
        <v>0</v>
      </c>
      <c r="V390" s="1289"/>
      <c r="W390" s="1261"/>
      <c r="X390" s="1527"/>
      <c r="Y390" s="1528" t="s">
        <v>1146</v>
      </c>
    </row>
    <row r="391" spans="2:25" ht="51" x14ac:dyDescent="0.25">
      <c r="B391" s="2023"/>
      <c r="C391" s="720"/>
      <c r="D391" s="720"/>
      <c r="E391" s="720"/>
      <c r="F391" s="1291"/>
      <c r="G391" s="721"/>
      <c r="H391" s="721" t="s">
        <v>112</v>
      </c>
      <c r="I391" s="1286" t="s">
        <v>40</v>
      </c>
      <c r="J391" s="1292"/>
      <c r="K391" s="1292">
        <v>12</v>
      </c>
      <c r="L391" s="1289">
        <v>100000</v>
      </c>
      <c r="M391" s="1261">
        <v>12</v>
      </c>
      <c r="N391" s="1289">
        <v>100000</v>
      </c>
      <c r="O391" s="1261">
        <v>12</v>
      </c>
      <c r="P391" s="1289">
        <v>100000</v>
      </c>
      <c r="Q391" s="1261">
        <v>12</v>
      </c>
      <c r="R391" s="1289">
        <v>100000</v>
      </c>
      <c r="S391" s="1261">
        <v>12</v>
      </c>
      <c r="T391" s="1289">
        <v>100000</v>
      </c>
      <c r="U391" s="1261">
        <v>12</v>
      </c>
      <c r="V391" s="1289">
        <v>100000</v>
      </c>
      <c r="W391" s="1261"/>
      <c r="X391" s="1527"/>
      <c r="Y391" s="1528" t="s">
        <v>1146</v>
      </c>
    </row>
    <row r="392" spans="2:25" ht="89.25" x14ac:dyDescent="0.25">
      <c r="B392" s="2024"/>
      <c r="C392" s="730"/>
      <c r="D392" s="730"/>
      <c r="E392" s="730"/>
      <c r="F392" s="1294"/>
      <c r="G392" s="722" t="s">
        <v>113</v>
      </c>
      <c r="H392" s="721" t="s">
        <v>3137</v>
      </c>
      <c r="I392" s="1286" t="s">
        <v>40</v>
      </c>
      <c r="J392" s="1287"/>
      <c r="K392" s="1287">
        <v>12</v>
      </c>
      <c r="L392" s="1289">
        <v>335000</v>
      </c>
      <c r="M392" s="1261">
        <v>12</v>
      </c>
      <c r="N392" s="1289">
        <v>368500</v>
      </c>
      <c r="O392" s="1261">
        <v>12</v>
      </c>
      <c r="P392" s="1289">
        <v>405350</v>
      </c>
      <c r="Q392" s="1261">
        <v>12</v>
      </c>
      <c r="R392" s="1289">
        <v>445885</v>
      </c>
      <c r="S392" s="1261">
        <v>12</v>
      </c>
      <c r="T392" s="1289">
        <v>490473</v>
      </c>
      <c r="U392" s="1261">
        <v>12</v>
      </c>
      <c r="V392" s="1289">
        <v>539520</v>
      </c>
      <c r="W392" s="1261"/>
      <c r="X392" s="1527"/>
      <c r="Y392" s="1528" t="s">
        <v>1146</v>
      </c>
    </row>
    <row r="393" spans="2:25" ht="13.5" thickBot="1" x14ac:dyDescent="0.3">
      <c r="B393" s="1531" t="s">
        <v>1811</v>
      </c>
      <c r="C393" s="1295"/>
      <c r="D393" s="1295"/>
      <c r="E393" s="1295"/>
      <c r="F393" s="1296"/>
      <c r="G393" s="1297"/>
      <c r="H393" s="1298"/>
      <c r="I393" s="1299"/>
      <c r="J393" s="1300"/>
      <c r="K393" s="1300"/>
      <c r="L393" s="1532">
        <f>SUM(L352:L392)/2</f>
        <v>4756598</v>
      </c>
      <c r="M393" s="1301"/>
      <c r="N393" s="1532">
        <f>SUM(N352:N392)/2</f>
        <v>5104980</v>
      </c>
      <c r="O393" s="1301"/>
      <c r="P393" s="1532">
        <f>SUM(P352:P392)/2</f>
        <v>5581914</v>
      </c>
      <c r="Q393" s="1301"/>
      <c r="R393" s="1532">
        <f>SUM(R352:R392)/2</f>
        <v>5360505.5</v>
      </c>
      <c r="S393" s="1301"/>
      <c r="T393" s="1532">
        <f>SUM(T352:T392)/2</f>
        <v>5893155.1500000004</v>
      </c>
      <c r="U393" s="1301"/>
      <c r="V393" s="1532">
        <f>SUM(V352:V392)/2</f>
        <v>6464870.3650000002</v>
      </c>
      <c r="W393" s="1301"/>
      <c r="X393" s="1297"/>
      <c r="Y393" s="1302"/>
    </row>
    <row r="394" spans="2:25" ht="13.5" thickTop="1" x14ac:dyDescent="0.25"/>
    <row r="395" spans="2:25" ht="13.5" thickBot="1" x14ac:dyDescent="0.3">
      <c r="B395" s="883" t="s">
        <v>123</v>
      </c>
    </row>
    <row r="396" spans="2:25" ht="13.5" thickTop="1" x14ac:dyDescent="0.25">
      <c r="B396" s="2045" t="s">
        <v>494</v>
      </c>
      <c r="C396" s="2040" t="s">
        <v>752</v>
      </c>
      <c r="D396" s="2040" t="s">
        <v>576</v>
      </c>
      <c r="E396" s="2040" t="s">
        <v>577</v>
      </c>
      <c r="F396" s="2040" t="s">
        <v>3127</v>
      </c>
      <c r="G396" s="2040" t="s">
        <v>3128</v>
      </c>
      <c r="H396" s="2040" t="s">
        <v>966</v>
      </c>
      <c r="I396" s="2040" t="s">
        <v>421</v>
      </c>
      <c r="J396" s="2055" t="s">
        <v>967</v>
      </c>
      <c r="K396" s="2053" t="s">
        <v>7</v>
      </c>
      <c r="L396" s="2054"/>
      <c r="M396" s="2054"/>
      <c r="N396" s="2054"/>
      <c r="O396" s="2054"/>
      <c r="P396" s="2054"/>
      <c r="Q396" s="2054"/>
      <c r="R396" s="2054"/>
      <c r="S396" s="2054"/>
      <c r="T396" s="2054"/>
      <c r="U396" s="2054"/>
      <c r="V396" s="2054"/>
      <c r="W396" s="2054"/>
      <c r="X396" s="2040" t="s">
        <v>653</v>
      </c>
      <c r="Y396" s="2049" t="s">
        <v>1147</v>
      </c>
    </row>
    <row r="397" spans="2:25" x14ac:dyDescent="0.25">
      <c r="B397" s="2046"/>
      <c r="C397" s="2041"/>
      <c r="D397" s="2041"/>
      <c r="E397" s="2041"/>
      <c r="F397" s="2041"/>
      <c r="G397" s="2041"/>
      <c r="H397" s="2041"/>
      <c r="I397" s="2041"/>
      <c r="J397" s="2052"/>
      <c r="K397" s="2051" t="s">
        <v>114</v>
      </c>
      <c r="L397" s="2038"/>
      <c r="M397" s="2051" t="s">
        <v>115</v>
      </c>
      <c r="N397" s="2038"/>
      <c r="O397" s="2051" t="s">
        <v>116</v>
      </c>
      <c r="P397" s="2038"/>
      <c r="Q397" s="2051" t="s">
        <v>117</v>
      </c>
      <c r="R397" s="2038"/>
      <c r="S397" s="2051" t="s">
        <v>118</v>
      </c>
      <c r="T397" s="2038"/>
      <c r="U397" s="2051" t="s">
        <v>119</v>
      </c>
      <c r="V397" s="2038"/>
      <c r="W397" s="2052" t="s">
        <v>968</v>
      </c>
      <c r="X397" s="2041"/>
      <c r="Y397" s="2050"/>
    </row>
    <row r="398" spans="2:25" x14ac:dyDescent="0.25">
      <c r="B398" s="2046"/>
      <c r="C398" s="2041"/>
      <c r="D398" s="2041"/>
      <c r="E398" s="2041"/>
      <c r="F398" s="2041"/>
      <c r="G398" s="2041"/>
      <c r="H398" s="2041"/>
      <c r="I398" s="2041"/>
      <c r="J398" s="2052"/>
      <c r="K398" s="1263" t="s">
        <v>9</v>
      </c>
      <c r="L398" s="1503" t="s">
        <v>3107</v>
      </c>
      <c r="M398" s="1263" t="s">
        <v>9</v>
      </c>
      <c r="N398" s="1503" t="s">
        <v>1355</v>
      </c>
      <c r="O398" s="1263" t="s">
        <v>9</v>
      </c>
      <c r="P398" s="1503" t="s">
        <v>1355</v>
      </c>
      <c r="Q398" s="1263" t="s">
        <v>9</v>
      </c>
      <c r="R398" s="1503" t="s">
        <v>1355</v>
      </c>
      <c r="S398" s="1263" t="s">
        <v>9</v>
      </c>
      <c r="T398" s="1503" t="s">
        <v>1355</v>
      </c>
      <c r="U398" s="1263" t="s">
        <v>9</v>
      </c>
      <c r="V398" s="1503" t="s">
        <v>1355</v>
      </c>
      <c r="W398" s="2052"/>
      <c r="X398" s="2041"/>
      <c r="Y398" s="2050"/>
    </row>
    <row r="399" spans="2:25" s="1239" customFormat="1" x14ac:dyDescent="0.25">
      <c r="B399" s="1504" t="s">
        <v>586</v>
      </c>
      <c r="C399" s="1448" t="s">
        <v>585</v>
      </c>
      <c r="D399" s="1448" t="s">
        <v>654</v>
      </c>
      <c r="E399" s="1448" t="s">
        <v>655</v>
      </c>
      <c r="F399" s="1505" t="s">
        <v>32</v>
      </c>
      <c r="G399" s="933">
        <v>6</v>
      </c>
      <c r="H399" s="1505">
        <v>7</v>
      </c>
      <c r="I399" s="1445" t="s">
        <v>3065</v>
      </c>
      <c r="J399" s="1269" t="s">
        <v>3066</v>
      </c>
      <c r="K399" s="1269" t="s">
        <v>3067</v>
      </c>
      <c r="L399" s="1506" t="s">
        <v>3068</v>
      </c>
      <c r="M399" s="1269" t="s">
        <v>3069</v>
      </c>
      <c r="N399" s="1506">
        <v>13</v>
      </c>
      <c r="O399" s="1269">
        <v>14</v>
      </c>
      <c r="P399" s="1506">
        <v>15</v>
      </c>
      <c r="Q399" s="1269">
        <v>16</v>
      </c>
      <c r="R399" s="1506">
        <v>17</v>
      </c>
      <c r="S399" s="1269">
        <v>18</v>
      </c>
      <c r="T399" s="1506">
        <v>19</v>
      </c>
      <c r="U399" s="1269">
        <v>20</v>
      </c>
      <c r="V399" s="1506">
        <v>21</v>
      </c>
      <c r="W399" s="1269">
        <v>22</v>
      </c>
      <c r="X399" s="1445">
        <v>23</v>
      </c>
      <c r="Y399" s="1507">
        <v>24</v>
      </c>
    </row>
    <row r="400" spans="2:25" ht="76.5" x14ac:dyDescent="0.25">
      <c r="B400" s="2099" t="s">
        <v>120</v>
      </c>
      <c r="C400" s="1526" t="s">
        <v>34</v>
      </c>
      <c r="D400" s="1526" t="s">
        <v>3899</v>
      </c>
      <c r="E400" s="1526" t="s">
        <v>3827</v>
      </c>
      <c r="F400" s="1526" t="s">
        <v>3913</v>
      </c>
      <c r="G400" s="173" t="s">
        <v>3133</v>
      </c>
      <c r="H400" s="1526" t="s">
        <v>35</v>
      </c>
      <c r="I400" s="1533" t="s">
        <v>19</v>
      </c>
      <c r="J400" s="1304">
        <v>90</v>
      </c>
      <c r="K400" s="1304">
        <v>91</v>
      </c>
      <c r="L400" s="1534"/>
      <c r="M400" s="1304">
        <v>92</v>
      </c>
      <c r="N400" s="1534"/>
      <c r="O400" s="1304">
        <v>93</v>
      </c>
      <c r="P400" s="1534"/>
      <c r="Q400" s="1304">
        <v>94</v>
      </c>
      <c r="R400" s="1534"/>
      <c r="S400" s="1304">
        <v>95</v>
      </c>
      <c r="T400" s="1534"/>
      <c r="U400" s="1304">
        <v>96</v>
      </c>
      <c r="V400" s="1534"/>
      <c r="W400" s="1304">
        <f>U400</f>
        <v>96</v>
      </c>
      <c r="X400" s="1535"/>
      <c r="Y400" s="1536" t="s">
        <v>123</v>
      </c>
    </row>
    <row r="401" spans="2:25" ht="63.75" x14ac:dyDescent="0.25">
      <c r="B401" s="2100"/>
      <c r="C401" s="1734"/>
      <c r="D401" s="1734"/>
      <c r="E401" s="1734"/>
      <c r="F401" s="772"/>
      <c r="G401" s="768" t="s">
        <v>121</v>
      </c>
      <c r="H401" s="768" t="s">
        <v>122</v>
      </c>
      <c r="I401" s="906" t="s">
        <v>19</v>
      </c>
      <c r="J401" s="1303">
        <v>100</v>
      </c>
      <c r="K401" s="773">
        <v>20</v>
      </c>
      <c r="L401" s="1303">
        <f>SUM(L402:L414)</f>
        <v>500000</v>
      </c>
      <c r="M401" s="773">
        <v>20</v>
      </c>
      <c r="N401" s="1303">
        <f>SUM(N402:N414)</f>
        <v>521000</v>
      </c>
      <c r="O401" s="773">
        <v>20</v>
      </c>
      <c r="P401" s="1303">
        <f>SUM(P402:P414)</f>
        <v>578000</v>
      </c>
      <c r="Q401" s="773">
        <v>20</v>
      </c>
      <c r="R401" s="1303">
        <f>SUM(R402:R414)</f>
        <v>641500</v>
      </c>
      <c r="S401" s="773">
        <v>20</v>
      </c>
      <c r="T401" s="1303">
        <f>SUM(T402:T414)</f>
        <v>693500</v>
      </c>
      <c r="U401" s="773">
        <v>20</v>
      </c>
      <c r="V401" s="1303">
        <f>SUM(V402:V414)</f>
        <v>693500</v>
      </c>
      <c r="W401" s="773">
        <v>100</v>
      </c>
      <c r="X401" s="1533" t="s">
        <v>123</v>
      </c>
      <c r="Y401" s="1536" t="s">
        <v>123</v>
      </c>
    </row>
    <row r="402" spans="2:25" ht="63.75" x14ac:dyDescent="0.25">
      <c r="B402" s="2100"/>
      <c r="C402" s="1734"/>
      <c r="D402" s="1734"/>
      <c r="E402" s="1734"/>
      <c r="F402" s="772"/>
      <c r="G402" s="768" t="s">
        <v>124</v>
      </c>
      <c r="H402" s="768" t="s">
        <v>125</v>
      </c>
      <c r="I402" s="906" t="s">
        <v>40</v>
      </c>
      <c r="J402" s="1303"/>
      <c r="K402" s="773">
        <v>12</v>
      </c>
      <c r="L402" s="1303">
        <v>5000</v>
      </c>
      <c r="M402" s="773">
        <v>12</v>
      </c>
      <c r="N402" s="1303">
        <v>5000</v>
      </c>
      <c r="O402" s="773">
        <v>12</v>
      </c>
      <c r="P402" s="1303">
        <v>6000</v>
      </c>
      <c r="Q402" s="773">
        <v>12</v>
      </c>
      <c r="R402" s="1303">
        <v>6500</v>
      </c>
      <c r="S402" s="773">
        <v>12</v>
      </c>
      <c r="T402" s="1303">
        <v>7000</v>
      </c>
      <c r="U402" s="773">
        <v>12</v>
      </c>
      <c r="V402" s="1303">
        <v>7000</v>
      </c>
      <c r="W402" s="773"/>
      <c r="X402" s="1304"/>
      <c r="Y402" s="1536" t="s">
        <v>123</v>
      </c>
    </row>
    <row r="403" spans="2:25" ht="51" x14ac:dyDescent="0.25">
      <c r="B403" s="2100"/>
      <c r="C403" s="1734"/>
      <c r="D403" s="1734"/>
      <c r="E403" s="1734"/>
      <c r="F403" s="772"/>
      <c r="G403" s="768" t="s">
        <v>126</v>
      </c>
      <c r="H403" s="768" t="s">
        <v>127</v>
      </c>
      <c r="I403" s="906" t="s">
        <v>40</v>
      </c>
      <c r="J403" s="1303"/>
      <c r="K403" s="773">
        <v>12</v>
      </c>
      <c r="L403" s="1303">
        <v>120000</v>
      </c>
      <c r="M403" s="773">
        <v>12</v>
      </c>
      <c r="N403" s="1303">
        <v>125000</v>
      </c>
      <c r="O403" s="773">
        <v>12</v>
      </c>
      <c r="P403" s="1303">
        <v>120000</v>
      </c>
      <c r="Q403" s="773">
        <v>12</v>
      </c>
      <c r="R403" s="1303">
        <v>144000</v>
      </c>
      <c r="S403" s="773">
        <v>12</v>
      </c>
      <c r="T403" s="1303">
        <v>152000</v>
      </c>
      <c r="U403" s="773">
        <v>12</v>
      </c>
      <c r="V403" s="1303">
        <v>152000</v>
      </c>
      <c r="W403" s="773"/>
      <c r="X403" s="1304"/>
      <c r="Y403" s="1536" t="s">
        <v>123</v>
      </c>
    </row>
    <row r="404" spans="2:25" ht="76.5" x14ac:dyDescent="0.25">
      <c r="B404" s="2100"/>
      <c r="C404" s="1734"/>
      <c r="D404" s="1734"/>
      <c r="E404" s="1734"/>
      <c r="F404" s="772"/>
      <c r="G404" s="768" t="s">
        <v>43</v>
      </c>
      <c r="H404" s="768" t="s">
        <v>128</v>
      </c>
      <c r="I404" s="906" t="s">
        <v>40</v>
      </c>
      <c r="J404" s="1303"/>
      <c r="K404" s="773">
        <v>12</v>
      </c>
      <c r="L404" s="1303">
        <v>90000</v>
      </c>
      <c r="M404" s="773">
        <v>12</v>
      </c>
      <c r="N404" s="1303">
        <v>95000</v>
      </c>
      <c r="O404" s="773">
        <v>12</v>
      </c>
      <c r="P404" s="1303">
        <v>110000</v>
      </c>
      <c r="Q404" s="773">
        <v>12</v>
      </c>
      <c r="R404" s="1303">
        <v>115000</v>
      </c>
      <c r="S404" s="773">
        <v>12</v>
      </c>
      <c r="T404" s="1303">
        <v>120000</v>
      </c>
      <c r="U404" s="773">
        <v>12</v>
      </c>
      <c r="V404" s="1303">
        <v>120000</v>
      </c>
      <c r="W404" s="773"/>
      <c r="X404" s="1304"/>
      <c r="Y404" s="1536" t="s">
        <v>123</v>
      </c>
    </row>
    <row r="405" spans="2:25" ht="38.25" x14ac:dyDescent="0.25">
      <c r="B405" s="2100"/>
      <c r="C405" s="1734"/>
      <c r="D405" s="1734"/>
      <c r="E405" s="1734"/>
      <c r="F405" s="772"/>
      <c r="G405" s="768" t="s">
        <v>45</v>
      </c>
      <c r="H405" s="768" t="s">
        <v>46</v>
      </c>
      <c r="I405" s="906" t="s">
        <v>40</v>
      </c>
      <c r="J405" s="1303"/>
      <c r="K405" s="773">
        <v>12</v>
      </c>
      <c r="L405" s="1303">
        <v>60000</v>
      </c>
      <c r="M405" s="773">
        <v>12</v>
      </c>
      <c r="N405" s="1303">
        <v>65000</v>
      </c>
      <c r="O405" s="773">
        <v>12</v>
      </c>
      <c r="P405" s="1303">
        <v>70000</v>
      </c>
      <c r="Q405" s="773">
        <v>12</v>
      </c>
      <c r="R405" s="1303">
        <v>77000</v>
      </c>
      <c r="S405" s="773">
        <v>12</v>
      </c>
      <c r="T405" s="1303">
        <v>84000</v>
      </c>
      <c r="U405" s="773">
        <v>12</v>
      </c>
      <c r="V405" s="1303">
        <v>84000</v>
      </c>
      <c r="W405" s="773"/>
      <c r="X405" s="1304"/>
      <c r="Y405" s="1536" t="s">
        <v>123</v>
      </c>
    </row>
    <row r="406" spans="2:25" ht="63.75" x14ac:dyDescent="0.25">
      <c r="B406" s="2100"/>
      <c r="C406" s="1734"/>
      <c r="D406" s="1734"/>
      <c r="E406" s="1734"/>
      <c r="F406" s="772"/>
      <c r="G406" s="768" t="s">
        <v>47</v>
      </c>
      <c r="H406" s="768" t="s">
        <v>129</v>
      </c>
      <c r="I406" s="906" t="s">
        <v>40</v>
      </c>
      <c r="J406" s="1303"/>
      <c r="K406" s="773">
        <v>12</v>
      </c>
      <c r="L406" s="1303">
        <v>22000</v>
      </c>
      <c r="M406" s="773">
        <v>12</v>
      </c>
      <c r="N406" s="1303">
        <v>22000</v>
      </c>
      <c r="O406" s="773">
        <v>12</v>
      </c>
      <c r="P406" s="1303">
        <v>25000</v>
      </c>
      <c r="Q406" s="773">
        <v>12</v>
      </c>
      <c r="R406" s="1303">
        <v>27000</v>
      </c>
      <c r="S406" s="773">
        <v>12</v>
      </c>
      <c r="T406" s="1303">
        <v>29000</v>
      </c>
      <c r="U406" s="773">
        <v>12</v>
      </c>
      <c r="V406" s="1303">
        <v>29000</v>
      </c>
      <c r="W406" s="773"/>
      <c r="X406" s="1304"/>
      <c r="Y406" s="1536" t="s">
        <v>123</v>
      </c>
    </row>
    <row r="407" spans="2:25" ht="76.5" x14ac:dyDescent="0.25">
      <c r="B407" s="2100"/>
      <c r="C407" s="1734"/>
      <c r="D407" s="1734"/>
      <c r="E407" s="1734"/>
      <c r="F407" s="772"/>
      <c r="G407" s="768" t="s">
        <v>130</v>
      </c>
      <c r="H407" s="768" t="s">
        <v>131</v>
      </c>
      <c r="I407" s="906" t="s">
        <v>40</v>
      </c>
      <c r="J407" s="1303"/>
      <c r="K407" s="773">
        <v>12</v>
      </c>
      <c r="L407" s="1303">
        <v>45000</v>
      </c>
      <c r="M407" s="773">
        <v>12</v>
      </c>
      <c r="N407" s="1303">
        <v>50000</v>
      </c>
      <c r="O407" s="773">
        <v>12</v>
      </c>
      <c r="P407" s="1303">
        <v>51000</v>
      </c>
      <c r="Q407" s="773">
        <v>12</v>
      </c>
      <c r="R407" s="1303">
        <v>56000</v>
      </c>
      <c r="S407" s="773">
        <v>12</v>
      </c>
      <c r="T407" s="1303">
        <v>60000</v>
      </c>
      <c r="U407" s="773">
        <v>12</v>
      </c>
      <c r="V407" s="1303">
        <v>60000</v>
      </c>
      <c r="W407" s="773"/>
      <c r="X407" s="1304"/>
      <c r="Y407" s="1536" t="s">
        <v>123</v>
      </c>
    </row>
    <row r="408" spans="2:25" ht="25.5" x14ac:dyDescent="0.25">
      <c r="B408" s="2100"/>
      <c r="C408" s="1734"/>
      <c r="D408" s="1734"/>
      <c r="E408" s="1734"/>
      <c r="F408" s="772"/>
      <c r="G408" s="768" t="s">
        <v>50</v>
      </c>
      <c r="H408" s="768" t="s">
        <v>132</v>
      </c>
      <c r="I408" s="906" t="s">
        <v>40</v>
      </c>
      <c r="J408" s="1303"/>
      <c r="K408" s="773">
        <v>12</v>
      </c>
      <c r="L408" s="1303">
        <v>30000</v>
      </c>
      <c r="M408" s="773">
        <v>12</v>
      </c>
      <c r="N408" s="1303">
        <v>30000</v>
      </c>
      <c r="O408" s="773">
        <v>12</v>
      </c>
      <c r="P408" s="1303">
        <v>36000</v>
      </c>
      <c r="Q408" s="773">
        <v>12</v>
      </c>
      <c r="R408" s="1303">
        <v>39000</v>
      </c>
      <c r="S408" s="773">
        <v>12</v>
      </c>
      <c r="T408" s="1303">
        <v>43000</v>
      </c>
      <c r="U408" s="773">
        <v>12</v>
      </c>
      <c r="V408" s="1303">
        <v>43000</v>
      </c>
      <c r="W408" s="773"/>
      <c r="X408" s="1304"/>
      <c r="Y408" s="1536" t="s">
        <v>123</v>
      </c>
    </row>
    <row r="409" spans="2:25" ht="38.25" x14ac:dyDescent="0.25">
      <c r="B409" s="2100"/>
      <c r="C409" s="1734"/>
      <c r="D409" s="1734"/>
      <c r="E409" s="1734"/>
      <c r="F409" s="772"/>
      <c r="G409" s="768" t="s">
        <v>52</v>
      </c>
      <c r="H409" s="768" t="s">
        <v>133</v>
      </c>
      <c r="I409" s="906" t="s">
        <v>40</v>
      </c>
      <c r="J409" s="1303"/>
      <c r="K409" s="773">
        <v>12</v>
      </c>
      <c r="L409" s="1303">
        <v>45000</v>
      </c>
      <c r="M409" s="773">
        <v>12</v>
      </c>
      <c r="N409" s="1303">
        <v>45000</v>
      </c>
      <c r="O409" s="773">
        <v>12</v>
      </c>
      <c r="P409" s="1303">
        <v>52000</v>
      </c>
      <c r="Q409" s="773">
        <v>12</v>
      </c>
      <c r="R409" s="1303">
        <v>57000</v>
      </c>
      <c r="S409" s="773">
        <v>12</v>
      </c>
      <c r="T409" s="1303">
        <v>62000</v>
      </c>
      <c r="U409" s="773">
        <v>12</v>
      </c>
      <c r="V409" s="1303">
        <v>62000</v>
      </c>
      <c r="W409" s="773"/>
      <c r="X409" s="1304"/>
      <c r="Y409" s="1536" t="s">
        <v>123</v>
      </c>
    </row>
    <row r="410" spans="2:25" ht="38.25" x14ac:dyDescent="0.25">
      <c r="B410" s="2100"/>
      <c r="C410" s="1734"/>
      <c r="D410" s="1734"/>
      <c r="E410" s="1734"/>
      <c r="F410" s="772"/>
      <c r="G410" s="768" t="s">
        <v>54</v>
      </c>
      <c r="H410" s="768" t="s">
        <v>134</v>
      </c>
      <c r="I410" s="906" t="s">
        <v>40</v>
      </c>
      <c r="J410" s="1303"/>
      <c r="K410" s="773">
        <v>12</v>
      </c>
      <c r="L410" s="1303">
        <v>8000</v>
      </c>
      <c r="M410" s="773">
        <v>12</v>
      </c>
      <c r="N410" s="1303">
        <v>8000</v>
      </c>
      <c r="O410" s="773">
        <v>12</v>
      </c>
      <c r="P410" s="1303">
        <v>10000</v>
      </c>
      <c r="Q410" s="773">
        <v>12</v>
      </c>
      <c r="R410" s="1303">
        <v>11000</v>
      </c>
      <c r="S410" s="773">
        <v>12</v>
      </c>
      <c r="T410" s="1303">
        <v>12000</v>
      </c>
      <c r="U410" s="773">
        <v>12</v>
      </c>
      <c r="V410" s="1303">
        <v>12000</v>
      </c>
      <c r="W410" s="773"/>
      <c r="X410" s="1304"/>
      <c r="Y410" s="1536" t="s">
        <v>123</v>
      </c>
    </row>
    <row r="411" spans="2:25" ht="63.75" x14ac:dyDescent="0.25">
      <c r="B411" s="2100"/>
      <c r="C411" s="1734"/>
      <c r="D411" s="1734"/>
      <c r="E411" s="1734"/>
      <c r="F411" s="772"/>
      <c r="G411" s="768" t="s">
        <v>135</v>
      </c>
      <c r="H411" s="768" t="s">
        <v>57</v>
      </c>
      <c r="I411" s="906" t="s">
        <v>40</v>
      </c>
      <c r="J411" s="1303"/>
      <c r="K411" s="773">
        <v>12</v>
      </c>
      <c r="L411" s="1303">
        <v>5000</v>
      </c>
      <c r="M411" s="773">
        <v>12</v>
      </c>
      <c r="N411" s="1303">
        <v>5000</v>
      </c>
      <c r="O411" s="773">
        <v>12</v>
      </c>
      <c r="P411" s="1303">
        <v>6000</v>
      </c>
      <c r="Q411" s="773">
        <v>12</v>
      </c>
      <c r="R411" s="1303">
        <v>7000</v>
      </c>
      <c r="S411" s="773">
        <v>12</v>
      </c>
      <c r="T411" s="1303">
        <v>7500</v>
      </c>
      <c r="U411" s="773">
        <v>12</v>
      </c>
      <c r="V411" s="1303">
        <v>7500</v>
      </c>
      <c r="W411" s="773"/>
      <c r="X411" s="1304"/>
      <c r="Y411" s="1536" t="s">
        <v>123</v>
      </c>
    </row>
    <row r="412" spans="2:25" ht="51" x14ac:dyDescent="0.25">
      <c r="B412" s="2100"/>
      <c r="C412" s="1734"/>
      <c r="D412" s="1734"/>
      <c r="E412" s="1734"/>
      <c r="F412" s="772"/>
      <c r="G412" s="768" t="s">
        <v>58</v>
      </c>
      <c r="H412" s="768" t="s">
        <v>136</v>
      </c>
      <c r="I412" s="906" t="s">
        <v>40</v>
      </c>
      <c r="J412" s="1303"/>
      <c r="K412" s="773">
        <v>12</v>
      </c>
      <c r="L412" s="1303">
        <v>30000</v>
      </c>
      <c r="M412" s="773">
        <v>12</v>
      </c>
      <c r="N412" s="1303">
        <v>31000</v>
      </c>
      <c r="O412" s="773">
        <v>12</v>
      </c>
      <c r="P412" s="1303">
        <v>34000</v>
      </c>
      <c r="Q412" s="773">
        <v>12</v>
      </c>
      <c r="R412" s="1303">
        <v>37000</v>
      </c>
      <c r="S412" s="773">
        <v>12</v>
      </c>
      <c r="T412" s="1303">
        <v>40000</v>
      </c>
      <c r="U412" s="773">
        <v>12</v>
      </c>
      <c r="V412" s="1303">
        <v>40000</v>
      </c>
      <c r="W412" s="773"/>
      <c r="X412" s="1304"/>
      <c r="Y412" s="1536" t="s">
        <v>123</v>
      </c>
    </row>
    <row r="413" spans="2:25" ht="63.75" x14ac:dyDescent="0.25">
      <c r="B413" s="2100"/>
      <c r="C413" s="1734"/>
      <c r="D413" s="1734"/>
      <c r="E413" s="1734"/>
      <c r="F413" s="772"/>
      <c r="G413" s="768" t="s">
        <v>137</v>
      </c>
      <c r="H413" s="768" t="s">
        <v>138</v>
      </c>
      <c r="I413" s="906" t="s">
        <v>40</v>
      </c>
      <c r="J413" s="1303"/>
      <c r="K413" s="773">
        <v>12</v>
      </c>
      <c r="L413" s="1303">
        <v>30000</v>
      </c>
      <c r="M413" s="773">
        <v>12</v>
      </c>
      <c r="N413" s="1303">
        <v>30000</v>
      </c>
      <c r="O413" s="773">
        <v>12</v>
      </c>
      <c r="P413" s="1303">
        <v>45000</v>
      </c>
      <c r="Q413" s="773">
        <v>12</v>
      </c>
      <c r="R413" s="1303">
        <v>50000</v>
      </c>
      <c r="S413" s="773">
        <v>12</v>
      </c>
      <c r="T413" s="1303">
        <v>60000</v>
      </c>
      <c r="U413" s="773">
        <v>12</v>
      </c>
      <c r="V413" s="1303">
        <v>60000</v>
      </c>
      <c r="W413" s="773"/>
      <c r="X413" s="1304"/>
      <c r="Y413" s="1536" t="s">
        <v>123</v>
      </c>
    </row>
    <row r="414" spans="2:25" ht="63.75" x14ac:dyDescent="0.25">
      <c r="B414" s="2100"/>
      <c r="C414" s="1734"/>
      <c r="D414" s="1734"/>
      <c r="E414" s="1734"/>
      <c r="F414" s="772"/>
      <c r="G414" s="768" t="s">
        <v>139</v>
      </c>
      <c r="H414" s="768" t="s">
        <v>140</v>
      </c>
      <c r="I414" s="906" t="s">
        <v>40</v>
      </c>
      <c r="J414" s="1303"/>
      <c r="K414" s="773">
        <v>12</v>
      </c>
      <c r="L414" s="1303">
        <v>10000</v>
      </c>
      <c r="M414" s="773">
        <v>12</v>
      </c>
      <c r="N414" s="1303">
        <v>10000</v>
      </c>
      <c r="O414" s="773">
        <v>12</v>
      </c>
      <c r="P414" s="1303">
        <v>13000</v>
      </c>
      <c r="Q414" s="773">
        <v>12</v>
      </c>
      <c r="R414" s="1303">
        <v>15000</v>
      </c>
      <c r="S414" s="773">
        <v>12</v>
      </c>
      <c r="T414" s="1303">
        <v>17000</v>
      </c>
      <c r="U414" s="773">
        <v>12</v>
      </c>
      <c r="V414" s="1303">
        <v>17000</v>
      </c>
      <c r="W414" s="773"/>
      <c r="X414" s="1304"/>
      <c r="Y414" s="1536" t="s">
        <v>123</v>
      </c>
    </row>
    <row r="415" spans="2:25" ht="51" x14ac:dyDescent="0.25">
      <c r="B415" s="2100"/>
      <c r="C415" s="1734"/>
      <c r="D415" s="1734"/>
      <c r="E415" s="1734"/>
      <c r="F415" s="772"/>
      <c r="G415" s="768" t="s">
        <v>65</v>
      </c>
      <c r="H415" s="768" t="s">
        <v>141</v>
      </c>
      <c r="I415" s="906" t="s">
        <v>19</v>
      </c>
      <c r="J415" s="773">
        <v>100</v>
      </c>
      <c r="K415" s="773">
        <v>20</v>
      </c>
      <c r="L415" s="1303">
        <f>SUM(L416:L435)</f>
        <v>188874</v>
      </c>
      <c r="M415" s="773">
        <v>20</v>
      </c>
      <c r="N415" s="1303">
        <f>SUM(N416:N435)</f>
        <v>213500</v>
      </c>
      <c r="O415" s="773">
        <v>20</v>
      </c>
      <c r="P415" s="1303">
        <f>SUM(P416:P435)</f>
        <v>471625</v>
      </c>
      <c r="Q415" s="773">
        <v>20</v>
      </c>
      <c r="R415" s="1303">
        <f>SUM(R416:R435)</f>
        <v>314775</v>
      </c>
      <c r="S415" s="773">
        <v>20</v>
      </c>
      <c r="T415" s="1303">
        <f>SUM(T416:T435)</f>
        <v>320625</v>
      </c>
      <c r="U415" s="773">
        <v>20</v>
      </c>
      <c r="V415" s="1303">
        <f>SUM(V416:V435)</f>
        <v>320625</v>
      </c>
      <c r="W415" s="773">
        <v>100</v>
      </c>
      <c r="X415" s="1304"/>
      <c r="Y415" s="1536" t="s">
        <v>123</v>
      </c>
    </row>
    <row r="416" spans="2:25" ht="51" x14ac:dyDescent="0.25">
      <c r="B416" s="2100"/>
      <c r="C416" s="1734"/>
      <c r="D416" s="1734"/>
      <c r="E416" s="1734"/>
      <c r="F416" s="772"/>
      <c r="G416" s="768" t="s">
        <v>142</v>
      </c>
      <c r="H416" s="768" t="s">
        <v>143</v>
      </c>
      <c r="I416" s="906" t="s">
        <v>75</v>
      </c>
      <c r="J416" s="1303">
        <v>0</v>
      </c>
      <c r="K416" s="773">
        <v>0</v>
      </c>
      <c r="L416" s="1303">
        <v>0</v>
      </c>
      <c r="M416" s="773">
        <v>3</v>
      </c>
      <c r="N416" s="1303">
        <v>50000</v>
      </c>
      <c r="O416" s="773">
        <v>1</v>
      </c>
      <c r="P416" s="1303">
        <v>200000</v>
      </c>
      <c r="Q416" s="773">
        <v>3</v>
      </c>
      <c r="R416" s="1303">
        <v>55000</v>
      </c>
      <c r="S416" s="773">
        <v>2</v>
      </c>
      <c r="T416" s="1303">
        <v>36000</v>
      </c>
      <c r="U416" s="773">
        <v>2</v>
      </c>
      <c r="V416" s="1303">
        <v>36000</v>
      </c>
      <c r="W416" s="773">
        <v>12</v>
      </c>
      <c r="X416" s="1304"/>
      <c r="Y416" s="1536" t="s">
        <v>123</v>
      </c>
    </row>
    <row r="417" spans="2:25" ht="38.25" x14ac:dyDescent="0.25">
      <c r="B417" s="2100"/>
      <c r="C417" s="1734"/>
      <c r="D417" s="1734"/>
      <c r="E417" s="1734"/>
      <c r="F417" s="772"/>
      <c r="G417" s="2094" t="s">
        <v>144</v>
      </c>
      <c r="H417" s="768" t="s">
        <v>145</v>
      </c>
      <c r="I417" s="906" t="s">
        <v>75</v>
      </c>
      <c r="J417" s="1303">
        <v>50</v>
      </c>
      <c r="K417" s="1303">
        <v>3634</v>
      </c>
      <c r="L417" s="1303">
        <v>50000</v>
      </c>
      <c r="M417" s="1303">
        <v>3515</v>
      </c>
      <c r="N417" s="1303">
        <v>10000</v>
      </c>
      <c r="O417" s="1303">
        <v>600</v>
      </c>
      <c r="P417" s="1303">
        <v>8625</v>
      </c>
      <c r="Q417" s="1303">
        <v>602</v>
      </c>
      <c r="R417" s="1303">
        <v>9775</v>
      </c>
      <c r="S417" s="1303">
        <v>600</v>
      </c>
      <c r="T417" s="1303">
        <v>8625</v>
      </c>
      <c r="U417" s="1303">
        <v>600</v>
      </c>
      <c r="V417" s="1303">
        <v>8625</v>
      </c>
      <c r="W417" s="773">
        <v>8951</v>
      </c>
      <c r="X417" s="1304"/>
      <c r="Y417" s="1536" t="s">
        <v>123</v>
      </c>
    </row>
    <row r="418" spans="2:25" ht="38.25" x14ac:dyDescent="0.25">
      <c r="B418" s="2100"/>
      <c r="C418" s="1734"/>
      <c r="D418" s="1734"/>
      <c r="E418" s="1734"/>
      <c r="F418" s="772"/>
      <c r="G418" s="2094"/>
      <c r="H418" s="1305" t="s">
        <v>146</v>
      </c>
      <c r="I418" s="906" t="s">
        <v>106</v>
      </c>
      <c r="J418" s="1303"/>
      <c r="K418" s="1303">
        <v>3630</v>
      </c>
      <c r="L418" s="1303"/>
      <c r="M418" s="773"/>
      <c r="N418" s="1303"/>
      <c r="O418" s="773"/>
      <c r="P418" s="1303"/>
      <c r="Q418" s="773"/>
      <c r="R418" s="1303"/>
      <c r="S418" s="773"/>
      <c r="T418" s="1303"/>
      <c r="U418" s="773"/>
      <c r="V418" s="1303"/>
      <c r="W418" s="773">
        <v>3630</v>
      </c>
      <c r="X418" s="1304"/>
      <c r="Y418" s="1536" t="s">
        <v>123</v>
      </c>
    </row>
    <row r="419" spans="2:25" ht="25.5" x14ac:dyDescent="0.25">
      <c r="B419" s="2100"/>
      <c r="C419" s="1734"/>
      <c r="D419" s="1734"/>
      <c r="E419" s="1734"/>
      <c r="F419" s="772"/>
      <c r="G419" s="2094"/>
      <c r="H419" s="1305" t="s">
        <v>147</v>
      </c>
      <c r="I419" s="906" t="s">
        <v>106</v>
      </c>
      <c r="J419" s="1303"/>
      <c r="K419" s="1303">
        <v>2</v>
      </c>
      <c r="L419" s="1303"/>
      <c r="M419" s="773"/>
      <c r="N419" s="1303"/>
      <c r="O419" s="773"/>
      <c r="P419" s="1303"/>
      <c r="Q419" s="773"/>
      <c r="R419" s="1303"/>
      <c r="S419" s="773"/>
      <c r="T419" s="1303"/>
      <c r="U419" s="773"/>
      <c r="V419" s="1303"/>
      <c r="W419" s="773"/>
      <c r="X419" s="1304"/>
      <c r="Y419" s="1536" t="s">
        <v>123</v>
      </c>
    </row>
    <row r="420" spans="2:25" ht="25.5" x14ac:dyDescent="0.25">
      <c r="B420" s="2100"/>
      <c r="C420" s="1734"/>
      <c r="D420" s="1734"/>
      <c r="E420" s="1734"/>
      <c r="F420" s="772"/>
      <c r="G420" s="2094"/>
      <c r="H420" s="1305" t="s">
        <v>148</v>
      </c>
      <c r="I420" s="906" t="s">
        <v>75</v>
      </c>
      <c r="J420" s="1303"/>
      <c r="K420" s="1303">
        <v>2</v>
      </c>
      <c r="L420" s="1303"/>
      <c r="M420" s="773"/>
      <c r="N420" s="1303"/>
      <c r="O420" s="773"/>
      <c r="P420" s="1303"/>
      <c r="Q420" s="773"/>
      <c r="R420" s="1303"/>
      <c r="S420" s="773"/>
      <c r="T420" s="1303"/>
      <c r="U420" s="773"/>
      <c r="V420" s="1303"/>
      <c r="W420" s="773">
        <v>2</v>
      </c>
      <c r="X420" s="1304"/>
      <c r="Y420" s="1536" t="s">
        <v>123</v>
      </c>
    </row>
    <row r="421" spans="2:25" ht="38.25" x14ac:dyDescent="0.25">
      <c r="B421" s="2100"/>
      <c r="C421" s="1734"/>
      <c r="D421" s="1734"/>
      <c r="E421" s="1734"/>
      <c r="F421" s="772"/>
      <c r="G421" s="768" t="s">
        <v>149</v>
      </c>
      <c r="H421" s="768" t="s">
        <v>150</v>
      </c>
      <c r="I421" s="906" t="s">
        <v>75</v>
      </c>
      <c r="J421" s="1303">
        <v>13</v>
      </c>
      <c r="K421" s="1303">
        <v>8</v>
      </c>
      <c r="L421" s="1303">
        <v>50000</v>
      </c>
      <c r="M421" s="1303">
        <v>18</v>
      </c>
      <c r="N421" s="1303">
        <v>100000</v>
      </c>
      <c r="O421" s="1303">
        <v>20</v>
      </c>
      <c r="P421" s="1303">
        <v>188000</v>
      </c>
      <c r="Q421" s="1303">
        <v>18</v>
      </c>
      <c r="R421" s="1303">
        <v>167000</v>
      </c>
      <c r="S421" s="1303">
        <v>14</v>
      </c>
      <c r="T421" s="1303">
        <v>192000</v>
      </c>
      <c r="U421" s="1303">
        <v>14</v>
      </c>
      <c r="V421" s="1303">
        <v>192000</v>
      </c>
      <c r="W421" s="773">
        <v>78</v>
      </c>
      <c r="X421" s="1304"/>
      <c r="Y421" s="1536" t="s">
        <v>123</v>
      </c>
    </row>
    <row r="422" spans="2:25" ht="25.5" x14ac:dyDescent="0.25">
      <c r="B422" s="2100"/>
      <c r="C422" s="1734"/>
      <c r="D422" s="1734"/>
      <c r="E422" s="1734"/>
      <c r="F422" s="772"/>
      <c r="G422" s="768"/>
      <c r="H422" s="1305" t="s">
        <v>151</v>
      </c>
      <c r="I422" s="906" t="s">
        <v>75</v>
      </c>
      <c r="J422" s="1303"/>
      <c r="K422" s="773">
        <v>1</v>
      </c>
      <c r="L422" s="1303"/>
      <c r="M422" s="773"/>
      <c r="N422" s="1303"/>
      <c r="O422" s="773"/>
      <c r="P422" s="1303"/>
      <c r="Q422" s="773"/>
      <c r="R422" s="1303"/>
      <c r="S422" s="773"/>
      <c r="T422" s="1303"/>
      <c r="U422" s="773"/>
      <c r="V422" s="1303"/>
      <c r="W422" s="773">
        <v>1</v>
      </c>
      <c r="X422" s="1304"/>
      <c r="Y422" s="1536" t="s">
        <v>123</v>
      </c>
    </row>
    <row r="423" spans="2:25" x14ac:dyDescent="0.25">
      <c r="B423" s="2100"/>
      <c r="C423" s="1734"/>
      <c r="D423" s="1734"/>
      <c r="E423" s="1734"/>
      <c r="F423" s="772"/>
      <c r="G423" s="768"/>
      <c r="H423" s="1305" t="s">
        <v>152</v>
      </c>
      <c r="I423" s="906" t="s">
        <v>75</v>
      </c>
      <c r="J423" s="1303"/>
      <c r="K423" s="773">
        <v>1</v>
      </c>
      <c r="L423" s="1303"/>
      <c r="M423" s="773"/>
      <c r="N423" s="1303"/>
      <c r="O423" s="773"/>
      <c r="P423" s="1303"/>
      <c r="Q423" s="773"/>
      <c r="R423" s="1303"/>
      <c r="S423" s="773"/>
      <c r="T423" s="1303"/>
      <c r="U423" s="773"/>
      <c r="V423" s="1303"/>
      <c r="W423" s="773">
        <v>1</v>
      </c>
      <c r="X423" s="1304"/>
      <c r="Y423" s="1536" t="s">
        <v>123</v>
      </c>
    </row>
    <row r="424" spans="2:25" x14ac:dyDescent="0.25">
      <c r="B424" s="2100"/>
      <c r="C424" s="1734"/>
      <c r="D424" s="1734"/>
      <c r="E424" s="1734"/>
      <c r="F424" s="772"/>
      <c r="G424" s="768"/>
      <c r="H424" s="1305" t="s">
        <v>153</v>
      </c>
      <c r="I424" s="906" t="s">
        <v>75</v>
      </c>
      <c r="J424" s="1303"/>
      <c r="K424" s="773">
        <v>2</v>
      </c>
      <c r="L424" s="1303"/>
      <c r="M424" s="773"/>
      <c r="N424" s="1303"/>
      <c r="O424" s="773"/>
      <c r="P424" s="1303"/>
      <c r="Q424" s="773"/>
      <c r="R424" s="1303"/>
      <c r="S424" s="773"/>
      <c r="T424" s="1303"/>
      <c r="U424" s="773"/>
      <c r="V424" s="1303"/>
      <c r="W424" s="773"/>
      <c r="X424" s="1304"/>
      <c r="Y424" s="1536" t="s">
        <v>123</v>
      </c>
    </row>
    <row r="425" spans="2:25" x14ac:dyDescent="0.25">
      <c r="B425" s="2100"/>
      <c r="C425" s="1734"/>
      <c r="D425" s="1734"/>
      <c r="E425" s="1734"/>
      <c r="F425" s="772"/>
      <c r="G425" s="768"/>
      <c r="H425" s="1305" t="s">
        <v>154</v>
      </c>
      <c r="I425" s="906" t="s">
        <v>75</v>
      </c>
      <c r="J425" s="1303"/>
      <c r="K425" s="773">
        <v>2</v>
      </c>
      <c r="L425" s="1303"/>
      <c r="M425" s="773"/>
      <c r="N425" s="1303"/>
      <c r="O425" s="773"/>
      <c r="P425" s="1303"/>
      <c r="Q425" s="773"/>
      <c r="R425" s="1303"/>
      <c r="S425" s="773"/>
      <c r="T425" s="1303"/>
      <c r="U425" s="773"/>
      <c r="V425" s="1303"/>
      <c r="W425" s="773"/>
      <c r="X425" s="1304"/>
      <c r="Y425" s="1536" t="s">
        <v>123</v>
      </c>
    </row>
    <row r="426" spans="2:25" x14ac:dyDescent="0.25">
      <c r="B426" s="2100"/>
      <c r="C426" s="1734"/>
      <c r="D426" s="1734"/>
      <c r="E426" s="1734"/>
      <c r="F426" s="772"/>
      <c r="G426" s="768"/>
      <c r="H426" s="1305" t="s">
        <v>155</v>
      </c>
      <c r="I426" s="906" t="s">
        <v>75</v>
      </c>
      <c r="J426" s="1303"/>
      <c r="K426" s="773">
        <v>1</v>
      </c>
      <c r="L426" s="1303"/>
      <c r="M426" s="773"/>
      <c r="N426" s="1303"/>
      <c r="O426" s="773"/>
      <c r="P426" s="1303"/>
      <c r="Q426" s="773"/>
      <c r="R426" s="1303"/>
      <c r="S426" s="773"/>
      <c r="T426" s="1303"/>
      <c r="U426" s="773"/>
      <c r="V426" s="1303"/>
      <c r="W426" s="773">
        <v>1</v>
      </c>
      <c r="X426" s="1304"/>
      <c r="Y426" s="1536" t="s">
        <v>123</v>
      </c>
    </row>
    <row r="427" spans="2:25" x14ac:dyDescent="0.25">
      <c r="B427" s="2100"/>
      <c r="C427" s="1734"/>
      <c r="D427" s="1734"/>
      <c r="E427" s="1734"/>
      <c r="F427" s="772"/>
      <c r="G427" s="768"/>
      <c r="H427" s="1305" t="s">
        <v>156</v>
      </c>
      <c r="I427" s="906" t="s">
        <v>75</v>
      </c>
      <c r="J427" s="1303"/>
      <c r="K427" s="773">
        <v>1</v>
      </c>
      <c r="L427" s="1303"/>
      <c r="M427" s="773"/>
      <c r="N427" s="1303"/>
      <c r="O427" s="773"/>
      <c r="P427" s="1303"/>
      <c r="Q427" s="773"/>
      <c r="R427" s="1303"/>
      <c r="S427" s="773"/>
      <c r="T427" s="1303"/>
      <c r="U427" s="773"/>
      <c r="V427" s="1303"/>
      <c r="W427" s="773">
        <v>1</v>
      </c>
      <c r="X427" s="1304"/>
      <c r="Y427" s="1536" t="s">
        <v>123</v>
      </c>
    </row>
    <row r="428" spans="2:25" x14ac:dyDescent="0.25">
      <c r="B428" s="2100"/>
      <c r="C428" s="1734"/>
      <c r="D428" s="1734"/>
      <c r="E428" s="1734"/>
      <c r="F428" s="772"/>
      <c r="G428" s="768"/>
      <c r="H428" s="1305" t="s">
        <v>157</v>
      </c>
      <c r="I428" s="906" t="s">
        <v>75</v>
      </c>
      <c r="J428" s="1303"/>
      <c r="K428" s="773">
        <v>1</v>
      </c>
      <c r="L428" s="1303"/>
      <c r="M428" s="773"/>
      <c r="N428" s="1303"/>
      <c r="O428" s="773"/>
      <c r="P428" s="1303"/>
      <c r="Q428" s="773"/>
      <c r="R428" s="1303"/>
      <c r="S428" s="773"/>
      <c r="T428" s="1303"/>
      <c r="U428" s="773"/>
      <c r="V428" s="1303"/>
      <c r="W428" s="773"/>
      <c r="X428" s="1304"/>
      <c r="Y428" s="1536" t="s">
        <v>123</v>
      </c>
    </row>
    <row r="429" spans="2:25" ht="25.5" x14ac:dyDescent="0.25">
      <c r="B429" s="2100"/>
      <c r="C429" s="1734"/>
      <c r="D429" s="1734"/>
      <c r="E429" s="1734"/>
      <c r="F429" s="772"/>
      <c r="G429" s="1492" t="s">
        <v>158</v>
      </c>
      <c r="H429" s="768" t="s">
        <v>159</v>
      </c>
      <c r="I429" s="906" t="s">
        <v>75</v>
      </c>
      <c r="J429" s="1303">
        <v>0</v>
      </c>
      <c r="K429" s="773">
        <v>18</v>
      </c>
      <c r="L429" s="1303">
        <v>47200</v>
      </c>
      <c r="M429" s="773">
        <v>4</v>
      </c>
      <c r="N429" s="1303">
        <v>11500</v>
      </c>
      <c r="O429" s="773">
        <v>10</v>
      </c>
      <c r="P429" s="1303">
        <v>20000</v>
      </c>
      <c r="Q429" s="773">
        <v>10</v>
      </c>
      <c r="R429" s="1303">
        <v>20000</v>
      </c>
      <c r="S429" s="773">
        <v>8</v>
      </c>
      <c r="T429" s="1303">
        <v>14000</v>
      </c>
      <c r="U429" s="773">
        <v>8</v>
      </c>
      <c r="V429" s="1303">
        <v>14000</v>
      </c>
      <c r="W429" s="773">
        <v>50</v>
      </c>
      <c r="X429" s="1304"/>
      <c r="Y429" s="1536" t="s">
        <v>123</v>
      </c>
    </row>
    <row r="430" spans="2:25" ht="25.5" x14ac:dyDescent="0.25">
      <c r="B430" s="2100"/>
      <c r="C430" s="1734"/>
      <c r="D430" s="1734"/>
      <c r="E430" s="1734"/>
      <c r="F430" s="772"/>
      <c r="G430" s="768"/>
      <c r="H430" s="1305" t="s">
        <v>160</v>
      </c>
      <c r="I430" s="906" t="s">
        <v>75</v>
      </c>
      <c r="J430" s="1303"/>
      <c r="K430" s="773">
        <v>12</v>
      </c>
      <c r="L430" s="1303"/>
      <c r="M430" s="773"/>
      <c r="N430" s="1303"/>
      <c r="O430" s="773"/>
      <c r="P430" s="1303"/>
      <c r="Q430" s="773"/>
      <c r="R430" s="1303"/>
      <c r="S430" s="773"/>
      <c r="T430" s="1303"/>
      <c r="U430" s="773"/>
      <c r="V430" s="1303"/>
      <c r="W430" s="773">
        <v>12</v>
      </c>
      <c r="X430" s="1304"/>
      <c r="Y430" s="1536" t="s">
        <v>123</v>
      </c>
    </row>
    <row r="431" spans="2:25" x14ac:dyDescent="0.25">
      <c r="B431" s="2100"/>
      <c r="C431" s="1734"/>
      <c r="D431" s="1734"/>
      <c r="E431" s="1734"/>
      <c r="F431" s="772"/>
      <c r="G431" s="768"/>
      <c r="H431" s="1305" t="s">
        <v>161</v>
      </c>
      <c r="I431" s="906" t="s">
        <v>75</v>
      </c>
      <c r="J431" s="1303"/>
      <c r="K431" s="773">
        <v>1</v>
      </c>
      <c r="L431" s="1303"/>
      <c r="M431" s="773"/>
      <c r="N431" s="1303"/>
      <c r="O431" s="773"/>
      <c r="P431" s="1303"/>
      <c r="Q431" s="773"/>
      <c r="R431" s="1303"/>
      <c r="S431" s="773"/>
      <c r="T431" s="1303"/>
      <c r="U431" s="773"/>
      <c r="V431" s="1303"/>
      <c r="W431" s="773">
        <v>1</v>
      </c>
      <c r="X431" s="1304"/>
      <c r="Y431" s="1536" t="s">
        <v>123</v>
      </c>
    </row>
    <row r="432" spans="2:25" ht="25.5" x14ac:dyDescent="0.25">
      <c r="B432" s="2100"/>
      <c r="C432" s="1734"/>
      <c r="D432" s="1734"/>
      <c r="E432" s="1734"/>
      <c r="F432" s="772"/>
      <c r="G432" s="768"/>
      <c r="H432" s="1305" t="s">
        <v>162</v>
      </c>
      <c r="I432" s="906" t="s">
        <v>75</v>
      </c>
      <c r="J432" s="1303"/>
      <c r="K432" s="773">
        <v>4</v>
      </c>
      <c r="L432" s="1303"/>
      <c r="M432" s="773"/>
      <c r="N432" s="1303"/>
      <c r="O432" s="773"/>
      <c r="P432" s="1303"/>
      <c r="Q432" s="773"/>
      <c r="R432" s="1303"/>
      <c r="S432" s="773"/>
      <c r="T432" s="1303"/>
      <c r="U432" s="773"/>
      <c r="V432" s="1303"/>
      <c r="W432" s="773">
        <v>4</v>
      </c>
      <c r="X432" s="1304"/>
      <c r="Y432" s="1536" t="s">
        <v>123</v>
      </c>
    </row>
    <row r="433" spans="2:25" ht="25.5" x14ac:dyDescent="0.25">
      <c r="B433" s="2100"/>
      <c r="C433" s="1734"/>
      <c r="D433" s="1734"/>
      <c r="E433" s="1734"/>
      <c r="F433" s="772"/>
      <c r="G433" s="768"/>
      <c r="H433" s="1305" t="s">
        <v>163</v>
      </c>
      <c r="I433" s="906" t="s">
        <v>75</v>
      </c>
      <c r="J433" s="1303"/>
      <c r="K433" s="773">
        <v>1</v>
      </c>
      <c r="L433" s="1303"/>
      <c r="M433" s="773"/>
      <c r="N433" s="1303"/>
      <c r="O433" s="773"/>
      <c r="P433" s="1303"/>
      <c r="Q433" s="773"/>
      <c r="R433" s="1303"/>
      <c r="S433" s="773"/>
      <c r="T433" s="1303"/>
      <c r="U433" s="773"/>
      <c r="V433" s="1303"/>
      <c r="W433" s="773">
        <v>1</v>
      </c>
      <c r="X433" s="1304"/>
      <c r="Y433" s="1536" t="s">
        <v>123</v>
      </c>
    </row>
    <row r="434" spans="2:25" ht="63.75" x14ac:dyDescent="0.25">
      <c r="B434" s="2100"/>
      <c r="C434" s="1734"/>
      <c r="D434" s="1734"/>
      <c r="E434" s="1734"/>
      <c r="F434" s="772"/>
      <c r="G434" s="768" t="s">
        <v>164</v>
      </c>
      <c r="H434" s="1305" t="s">
        <v>165</v>
      </c>
      <c r="I434" s="906" t="s">
        <v>75</v>
      </c>
      <c r="J434" s="1303">
        <v>2</v>
      </c>
      <c r="K434" s="773">
        <v>2</v>
      </c>
      <c r="L434" s="1303">
        <v>31674</v>
      </c>
      <c r="M434" s="773">
        <v>2</v>
      </c>
      <c r="N434" s="1303">
        <v>32000</v>
      </c>
      <c r="O434" s="773">
        <v>2</v>
      </c>
      <c r="P434" s="1303">
        <v>40000</v>
      </c>
      <c r="Q434" s="773">
        <v>2</v>
      </c>
      <c r="R434" s="1303">
        <v>45000</v>
      </c>
      <c r="S434" s="773">
        <v>2</v>
      </c>
      <c r="T434" s="1303">
        <v>50000</v>
      </c>
      <c r="U434" s="773">
        <v>2</v>
      </c>
      <c r="V434" s="1303">
        <v>50000</v>
      </c>
      <c r="W434" s="773">
        <v>10</v>
      </c>
      <c r="X434" s="1304"/>
      <c r="Y434" s="1536" t="s">
        <v>123</v>
      </c>
    </row>
    <row r="435" spans="2:25" ht="51" x14ac:dyDescent="0.25">
      <c r="B435" s="2100"/>
      <c r="C435" s="1734"/>
      <c r="D435" s="1734"/>
      <c r="E435" s="1734"/>
      <c r="F435" s="772"/>
      <c r="G435" s="768" t="s">
        <v>73</v>
      </c>
      <c r="H435" s="768" t="s">
        <v>166</v>
      </c>
      <c r="I435" s="906" t="s">
        <v>75</v>
      </c>
      <c r="J435" s="1303">
        <v>30</v>
      </c>
      <c r="K435" s="773">
        <v>37</v>
      </c>
      <c r="L435" s="1303">
        <v>10000</v>
      </c>
      <c r="M435" s="773">
        <v>37</v>
      </c>
      <c r="N435" s="1303">
        <v>10000</v>
      </c>
      <c r="O435" s="773">
        <v>45</v>
      </c>
      <c r="P435" s="1303">
        <v>15000</v>
      </c>
      <c r="Q435" s="773">
        <v>45</v>
      </c>
      <c r="R435" s="1303">
        <v>18000</v>
      </c>
      <c r="S435" s="773">
        <v>45</v>
      </c>
      <c r="T435" s="1303">
        <v>20000</v>
      </c>
      <c r="U435" s="773">
        <v>45</v>
      </c>
      <c r="V435" s="1303">
        <v>20000</v>
      </c>
      <c r="W435" s="773">
        <v>209</v>
      </c>
      <c r="X435" s="1304"/>
      <c r="Y435" s="1536" t="s">
        <v>123</v>
      </c>
    </row>
    <row r="436" spans="2:25" ht="63.75" x14ac:dyDescent="0.25">
      <c r="B436" s="2100"/>
      <c r="C436" s="1734"/>
      <c r="D436" s="1734"/>
      <c r="E436" s="1734"/>
      <c r="F436" s="772"/>
      <c r="G436" s="768" t="s">
        <v>77</v>
      </c>
      <c r="H436" s="768" t="s">
        <v>78</v>
      </c>
      <c r="I436" s="906" t="s">
        <v>79</v>
      </c>
      <c r="J436" s="1303">
        <v>5</v>
      </c>
      <c r="K436" s="773">
        <v>6</v>
      </c>
      <c r="L436" s="1303">
        <f>SUM(L437)</f>
        <v>17000</v>
      </c>
      <c r="M436" s="773">
        <v>5</v>
      </c>
      <c r="N436" s="1303">
        <f>SUM(N437)</f>
        <v>25458</v>
      </c>
      <c r="O436" s="773">
        <v>5</v>
      </c>
      <c r="P436" s="1303">
        <f>SUM(P437)</f>
        <v>30000</v>
      </c>
      <c r="Q436" s="773">
        <v>5</v>
      </c>
      <c r="R436" s="1303">
        <f>SUM(R437)</f>
        <v>35000</v>
      </c>
      <c r="S436" s="773">
        <v>5</v>
      </c>
      <c r="T436" s="1303">
        <f>SUM(T437)</f>
        <v>40000</v>
      </c>
      <c r="U436" s="773">
        <v>5</v>
      </c>
      <c r="V436" s="1303">
        <f>SUM(V437)</f>
        <v>40000</v>
      </c>
      <c r="W436" s="1303">
        <v>26</v>
      </c>
      <c r="X436" s="1304"/>
      <c r="Y436" s="1536" t="s">
        <v>123</v>
      </c>
    </row>
    <row r="437" spans="2:25" ht="63.75" x14ac:dyDescent="0.25">
      <c r="B437" s="2100"/>
      <c r="C437" s="1734"/>
      <c r="D437" s="1734"/>
      <c r="E437" s="1734"/>
      <c r="F437" s="772"/>
      <c r="G437" s="768" t="s">
        <v>80</v>
      </c>
      <c r="H437" s="768" t="s">
        <v>81</v>
      </c>
      <c r="I437" s="906" t="s">
        <v>79</v>
      </c>
      <c r="J437" s="1303">
        <v>5</v>
      </c>
      <c r="K437" s="773">
        <v>6</v>
      </c>
      <c r="L437" s="1303">
        <v>17000</v>
      </c>
      <c r="M437" s="773">
        <v>5</v>
      </c>
      <c r="N437" s="1303">
        <v>25458</v>
      </c>
      <c r="O437" s="773">
        <v>5</v>
      </c>
      <c r="P437" s="1303">
        <v>30000</v>
      </c>
      <c r="Q437" s="773">
        <v>5</v>
      </c>
      <c r="R437" s="1303">
        <v>35000</v>
      </c>
      <c r="S437" s="773">
        <v>5</v>
      </c>
      <c r="T437" s="1303">
        <v>40000</v>
      </c>
      <c r="U437" s="773">
        <v>5</v>
      </c>
      <c r="V437" s="1303">
        <v>40000</v>
      </c>
      <c r="W437" s="1303">
        <v>26</v>
      </c>
      <c r="X437" s="1304"/>
      <c r="Y437" s="1536" t="s">
        <v>123</v>
      </c>
    </row>
    <row r="438" spans="2:25" ht="63.75" x14ac:dyDescent="0.25">
      <c r="B438" s="2100"/>
      <c r="C438" s="1734"/>
      <c r="D438" s="1734"/>
      <c r="E438" s="1734"/>
      <c r="F438" s="772"/>
      <c r="G438" s="768" t="s">
        <v>167</v>
      </c>
      <c r="H438" s="768" t="s">
        <v>168</v>
      </c>
      <c r="I438" s="906" t="s">
        <v>79</v>
      </c>
      <c r="J438" s="1303">
        <v>0</v>
      </c>
      <c r="K438" s="773">
        <v>1</v>
      </c>
      <c r="L438" s="1303">
        <f>SUM(L439)</f>
        <v>8000</v>
      </c>
      <c r="M438" s="773">
        <v>1</v>
      </c>
      <c r="N438" s="1303">
        <f>SUM(N439)</f>
        <v>15000</v>
      </c>
      <c r="O438" s="773">
        <v>1</v>
      </c>
      <c r="P438" s="1303">
        <f>SUM(P439)</f>
        <v>20000</v>
      </c>
      <c r="Q438" s="773">
        <v>1</v>
      </c>
      <c r="R438" s="1303">
        <f>SUM(R439)</f>
        <v>25000</v>
      </c>
      <c r="S438" s="773">
        <v>1</v>
      </c>
      <c r="T438" s="1303">
        <f>SUM(T439)</f>
        <v>30000</v>
      </c>
      <c r="U438" s="773">
        <v>1</v>
      </c>
      <c r="V438" s="1303">
        <f>SUM(V439)</f>
        <v>30000</v>
      </c>
      <c r="W438" s="1303">
        <v>5</v>
      </c>
      <c r="X438" s="1304"/>
      <c r="Y438" s="1536" t="s">
        <v>123</v>
      </c>
    </row>
    <row r="439" spans="2:25" ht="38.25" x14ac:dyDescent="0.25">
      <c r="B439" s="2100"/>
      <c r="C439" s="1734"/>
      <c r="D439" s="1734"/>
      <c r="E439" s="1734"/>
      <c r="F439" s="772"/>
      <c r="G439" s="1526" t="s">
        <v>169</v>
      </c>
      <c r="H439" s="768" t="s">
        <v>170</v>
      </c>
      <c r="I439" s="906" t="s">
        <v>79</v>
      </c>
      <c r="J439" s="1303"/>
      <c r="K439" s="773">
        <v>1</v>
      </c>
      <c r="L439" s="1303">
        <v>8000</v>
      </c>
      <c r="M439" s="773">
        <v>1</v>
      </c>
      <c r="N439" s="1303">
        <v>15000</v>
      </c>
      <c r="O439" s="773">
        <v>1</v>
      </c>
      <c r="P439" s="1303">
        <v>20000</v>
      </c>
      <c r="Q439" s="773">
        <v>1</v>
      </c>
      <c r="R439" s="1303">
        <v>25000</v>
      </c>
      <c r="S439" s="773">
        <v>1</v>
      </c>
      <c r="T439" s="1303">
        <v>30000</v>
      </c>
      <c r="U439" s="773">
        <v>1</v>
      </c>
      <c r="V439" s="1303">
        <v>30000</v>
      </c>
      <c r="W439" s="1303">
        <v>5</v>
      </c>
      <c r="X439" s="1304"/>
      <c r="Y439" s="1536" t="s">
        <v>123</v>
      </c>
    </row>
    <row r="440" spans="2:25" ht="89.25" x14ac:dyDescent="0.25">
      <c r="B440" s="2100"/>
      <c r="C440" s="1734"/>
      <c r="D440" s="1492" t="s">
        <v>3900</v>
      </c>
      <c r="E440" s="1736" t="s">
        <v>3896</v>
      </c>
      <c r="F440" s="1492" t="s">
        <v>3898</v>
      </c>
      <c r="G440" s="768" t="s">
        <v>3897</v>
      </c>
      <c r="H440" s="768"/>
      <c r="I440" s="1468" t="s">
        <v>19</v>
      </c>
      <c r="J440" s="1543">
        <v>86.168625062256737</v>
      </c>
      <c r="K440" s="1544">
        <v>88.127617554325397</v>
      </c>
      <c r="L440" s="1543"/>
      <c r="M440" s="1544">
        <v>90</v>
      </c>
      <c r="N440" s="1543"/>
      <c r="O440" s="1544">
        <v>92</v>
      </c>
      <c r="P440" s="1543"/>
      <c r="Q440" s="1544">
        <v>93</v>
      </c>
      <c r="R440" s="1543"/>
      <c r="S440" s="1544">
        <v>95</v>
      </c>
      <c r="T440" s="1543"/>
      <c r="U440" s="1543">
        <v>97</v>
      </c>
      <c r="V440" s="1543"/>
      <c r="W440" s="1543">
        <v>97</v>
      </c>
      <c r="X440" s="1471"/>
      <c r="Y440" s="1537"/>
    </row>
    <row r="441" spans="2:25" ht="38.25" x14ac:dyDescent="0.25">
      <c r="B441" s="2100"/>
      <c r="C441" s="1734"/>
      <c r="D441" s="1734"/>
      <c r="E441" s="1734"/>
      <c r="F441" s="1538"/>
      <c r="G441" s="772" t="s">
        <v>185</v>
      </c>
      <c r="H441" s="1492" t="s">
        <v>3155</v>
      </c>
      <c r="I441" s="1468" t="s">
        <v>100</v>
      </c>
      <c r="J441" s="1469">
        <f>J442+J443+J444+700</f>
        <v>1089</v>
      </c>
      <c r="K441" s="1469">
        <f>K442+K443+K444+700</f>
        <v>1094</v>
      </c>
      <c r="L441" s="1539">
        <f>SUM(L442:L445)</f>
        <v>3411250</v>
      </c>
      <c r="M441" s="1469">
        <f>M442+M443+M444+700</f>
        <v>1322</v>
      </c>
      <c r="N441" s="1539">
        <f>SUM(N442:N445)</f>
        <v>2980000</v>
      </c>
      <c r="O441" s="1469">
        <f>O442+O443+O444+700</f>
        <v>1380</v>
      </c>
      <c r="P441" s="1539">
        <f>SUM(P442:P445)</f>
        <v>4753000</v>
      </c>
      <c r="Q441" s="1469">
        <f>Q442+Q443+Q444+700</f>
        <v>1400</v>
      </c>
      <c r="R441" s="1539">
        <f>SUM(R442:R445)</f>
        <v>5450000</v>
      </c>
      <c r="S441" s="1469">
        <f>S442+S443+S444+700</f>
        <v>1450</v>
      </c>
      <c r="T441" s="1539">
        <f>SUM(T442:T445)</f>
        <v>5905000</v>
      </c>
      <c r="U441" s="1469">
        <f>U442+U443+U444+700</f>
        <v>1450</v>
      </c>
      <c r="V441" s="1539">
        <f>SUM(V442:V445)</f>
        <v>5905000</v>
      </c>
      <c r="W441" s="1470">
        <f>U441+S441+Q441+O441+M441+K441</f>
        <v>8096</v>
      </c>
      <c r="X441" s="1540"/>
      <c r="Y441" s="1537" t="s">
        <v>123</v>
      </c>
    </row>
    <row r="442" spans="2:25" ht="114.75" x14ac:dyDescent="0.25">
      <c r="B442" s="2100"/>
      <c r="C442" s="1734"/>
      <c r="D442" s="1734"/>
      <c r="E442" s="1734"/>
      <c r="F442" s="772"/>
      <c r="G442" s="768" t="s">
        <v>186</v>
      </c>
      <c r="H442" s="768" t="s">
        <v>187</v>
      </c>
      <c r="I442" s="906" t="s">
        <v>100</v>
      </c>
      <c r="J442" s="1303">
        <v>250</v>
      </c>
      <c r="K442" s="1303">
        <v>250</v>
      </c>
      <c r="L442" s="1303">
        <v>1386250</v>
      </c>
      <c r="M442" s="1303">
        <v>436</v>
      </c>
      <c r="N442" s="1303">
        <v>1000000</v>
      </c>
      <c r="O442" s="1303">
        <v>500</v>
      </c>
      <c r="P442" s="1303">
        <v>1750000</v>
      </c>
      <c r="Q442" s="1303">
        <v>500</v>
      </c>
      <c r="R442" s="1303">
        <v>2050000</v>
      </c>
      <c r="S442" s="1303">
        <v>550</v>
      </c>
      <c r="T442" s="1303">
        <v>2300000</v>
      </c>
      <c r="U442" s="1303">
        <v>550</v>
      </c>
      <c r="V442" s="1303">
        <v>2300000</v>
      </c>
      <c r="W442" s="1303">
        <v>2236</v>
      </c>
      <c r="X442" s="1304"/>
      <c r="Y442" s="1536" t="s">
        <v>123</v>
      </c>
    </row>
    <row r="443" spans="2:25" ht="89.25" x14ac:dyDescent="0.25">
      <c r="B443" s="2100"/>
      <c r="C443" s="1734"/>
      <c r="D443" s="1734"/>
      <c r="E443" s="1734"/>
      <c r="F443" s="772"/>
      <c r="G443" s="768" t="s">
        <v>188</v>
      </c>
      <c r="H443" s="768" t="s">
        <v>189</v>
      </c>
      <c r="I443" s="906" t="s">
        <v>100</v>
      </c>
      <c r="J443" s="1303">
        <v>139</v>
      </c>
      <c r="K443" s="773">
        <v>64</v>
      </c>
      <c r="L443" s="1303">
        <v>1900000</v>
      </c>
      <c r="M443" s="773">
        <v>66</v>
      </c>
      <c r="N443" s="1303">
        <v>1800000</v>
      </c>
      <c r="O443" s="773">
        <v>60</v>
      </c>
      <c r="P443" s="1303">
        <v>2600000</v>
      </c>
      <c r="Q443" s="773">
        <v>80</v>
      </c>
      <c r="R443" s="1303">
        <v>3000000</v>
      </c>
      <c r="S443" s="773">
        <v>80</v>
      </c>
      <c r="T443" s="1303">
        <v>3200000</v>
      </c>
      <c r="U443" s="773">
        <v>80</v>
      </c>
      <c r="V443" s="1303">
        <v>3200000</v>
      </c>
      <c r="W443" s="1303">
        <v>350</v>
      </c>
      <c r="X443" s="1304"/>
      <c r="Y443" s="1536" t="s">
        <v>123</v>
      </c>
    </row>
    <row r="444" spans="2:25" ht="63.75" x14ac:dyDescent="0.25">
      <c r="B444" s="2100"/>
      <c r="C444" s="1734"/>
      <c r="D444" s="1734"/>
      <c r="E444" s="1734"/>
      <c r="F444" s="772"/>
      <c r="G444" s="768" t="s">
        <v>190</v>
      </c>
      <c r="H444" s="768" t="s">
        <v>191</v>
      </c>
      <c r="I444" s="906" t="s">
        <v>100</v>
      </c>
      <c r="J444" s="1303">
        <v>0</v>
      </c>
      <c r="K444" s="773">
        <v>80</v>
      </c>
      <c r="L444" s="1303">
        <v>100000</v>
      </c>
      <c r="M444" s="773">
        <v>120</v>
      </c>
      <c r="N444" s="1303">
        <v>140000</v>
      </c>
      <c r="O444" s="773">
        <v>120</v>
      </c>
      <c r="P444" s="1303">
        <v>360000</v>
      </c>
      <c r="Q444" s="773">
        <v>120</v>
      </c>
      <c r="R444" s="1303">
        <v>360000</v>
      </c>
      <c r="S444" s="773">
        <v>120</v>
      </c>
      <c r="T444" s="1303">
        <v>360000</v>
      </c>
      <c r="U444" s="773">
        <v>120</v>
      </c>
      <c r="V444" s="1303">
        <v>360000</v>
      </c>
      <c r="W444" s="1303">
        <v>560</v>
      </c>
      <c r="X444" s="1304"/>
      <c r="Y444" s="1536" t="s">
        <v>123</v>
      </c>
    </row>
    <row r="445" spans="2:25" ht="153" x14ac:dyDescent="0.25">
      <c r="B445" s="2100"/>
      <c r="C445" s="1734"/>
      <c r="D445" s="1734"/>
      <c r="E445" s="1734"/>
      <c r="F445" s="772"/>
      <c r="G445" s="768" t="s">
        <v>192</v>
      </c>
      <c r="H445" s="768" t="s">
        <v>193</v>
      </c>
      <c r="I445" s="906" t="s">
        <v>100</v>
      </c>
      <c r="J445" s="1303">
        <v>1000</v>
      </c>
      <c r="K445" s="773">
        <v>1100</v>
      </c>
      <c r="L445" s="1303">
        <v>25000</v>
      </c>
      <c r="M445" s="773">
        <v>1100</v>
      </c>
      <c r="N445" s="1303">
        <v>40000</v>
      </c>
      <c r="O445" s="773">
        <v>1100</v>
      </c>
      <c r="P445" s="1303">
        <v>43000</v>
      </c>
      <c r="Q445" s="773">
        <v>1100</v>
      </c>
      <c r="R445" s="1303">
        <v>40000</v>
      </c>
      <c r="S445" s="773">
        <v>1100</v>
      </c>
      <c r="T445" s="1303">
        <v>45000</v>
      </c>
      <c r="U445" s="773">
        <v>1100</v>
      </c>
      <c r="V445" s="1303">
        <v>45000</v>
      </c>
      <c r="W445" s="1303">
        <v>5500</v>
      </c>
      <c r="X445" s="1304"/>
      <c r="Y445" s="1536" t="s">
        <v>123</v>
      </c>
    </row>
    <row r="446" spans="2:25" ht="51" x14ac:dyDescent="0.25">
      <c r="B446" s="2100"/>
      <c r="C446" s="1734"/>
      <c r="D446" s="1734"/>
      <c r="E446" s="1734"/>
      <c r="F446" s="772"/>
      <c r="G446" s="1526" t="s">
        <v>180</v>
      </c>
      <c r="H446" s="768" t="s">
        <v>179</v>
      </c>
      <c r="I446" s="906" t="s">
        <v>19</v>
      </c>
      <c r="J446" s="1303">
        <v>27</v>
      </c>
      <c r="K446" s="773">
        <v>31</v>
      </c>
      <c r="L446" s="1541">
        <f>SUM(L447:L448)</f>
        <v>840000</v>
      </c>
      <c r="M446" s="773">
        <v>38</v>
      </c>
      <c r="N446" s="1541">
        <f>SUM(N447:N448)</f>
        <v>1440000</v>
      </c>
      <c r="O446" s="773">
        <v>46</v>
      </c>
      <c r="P446" s="1541">
        <f>SUM(P447:P448)</f>
        <v>1250000</v>
      </c>
      <c r="Q446" s="773">
        <v>55</v>
      </c>
      <c r="R446" s="1541">
        <f>SUM(R447:R448)</f>
        <v>670000</v>
      </c>
      <c r="S446" s="773">
        <v>65</v>
      </c>
      <c r="T446" s="1541">
        <f>SUM(T447:T448)</f>
        <v>700000</v>
      </c>
      <c r="U446" s="773">
        <v>73</v>
      </c>
      <c r="V446" s="1541">
        <f>SUM(V447:V448)</f>
        <v>700000</v>
      </c>
      <c r="W446" s="1303">
        <v>65</v>
      </c>
      <c r="X446" s="1542"/>
      <c r="Y446" s="1536" t="s">
        <v>123</v>
      </c>
    </row>
    <row r="447" spans="2:25" ht="51" x14ac:dyDescent="0.25">
      <c r="B447" s="2100"/>
      <c r="C447" s="1734"/>
      <c r="D447" s="1734"/>
      <c r="E447" s="1734"/>
      <c r="F447" s="772"/>
      <c r="G447" s="768" t="s">
        <v>181</v>
      </c>
      <c r="H447" s="768" t="s">
        <v>182</v>
      </c>
      <c r="I447" s="906" t="s">
        <v>100</v>
      </c>
      <c r="J447" s="1303">
        <v>200</v>
      </c>
      <c r="K447" s="773">
        <v>200</v>
      </c>
      <c r="L447" s="1303">
        <v>400000</v>
      </c>
      <c r="M447" s="773">
        <v>240</v>
      </c>
      <c r="N447" s="1303">
        <v>440000</v>
      </c>
      <c r="O447" s="773">
        <v>240</v>
      </c>
      <c r="P447" s="1303">
        <v>450000</v>
      </c>
      <c r="Q447" s="773">
        <v>240</v>
      </c>
      <c r="R447" s="1303">
        <v>475000</v>
      </c>
      <c r="S447" s="773">
        <v>240</v>
      </c>
      <c r="T447" s="1303">
        <v>500000</v>
      </c>
      <c r="U447" s="773">
        <v>240</v>
      </c>
      <c r="V447" s="1303">
        <v>500000</v>
      </c>
      <c r="W447" s="1303">
        <v>1160</v>
      </c>
      <c r="X447" s="1304"/>
      <c r="Y447" s="1536" t="s">
        <v>123</v>
      </c>
    </row>
    <row r="448" spans="2:25" ht="51" x14ac:dyDescent="0.25">
      <c r="B448" s="2100"/>
      <c r="C448" s="1734"/>
      <c r="D448" s="1734"/>
      <c r="E448" s="1734"/>
      <c r="F448" s="772"/>
      <c r="G448" s="768" t="s">
        <v>183</v>
      </c>
      <c r="H448" s="768" t="s">
        <v>184</v>
      </c>
      <c r="I448" s="906" t="s">
        <v>100</v>
      </c>
      <c r="J448" s="1303">
        <v>110</v>
      </c>
      <c r="K448" s="773">
        <v>70</v>
      </c>
      <c r="L448" s="1303">
        <v>440000</v>
      </c>
      <c r="M448" s="773">
        <v>200</v>
      </c>
      <c r="N448" s="1303">
        <v>1000000</v>
      </c>
      <c r="O448" s="773">
        <v>100</v>
      </c>
      <c r="P448" s="1303">
        <v>800000</v>
      </c>
      <c r="Q448" s="773">
        <v>60</v>
      </c>
      <c r="R448" s="1303">
        <v>195000</v>
      </c>
      <c r="S448" s="773">
        <v>65</v>
      </c>
      <c r="T448" s="1303">
        <v>200000</v>
      </c>
      <c r="U448" s="773">
        <v>65</v>
      </c>
      <c r="V448" s="1303">
        <v>200000</v>
      </c>
      <c r="W448" s="1303">
        <v>495</v>
      </c>
      <c r="X448" s="1304"/>
      <c r="Y448" s="1536" t="s">
        <v>123</v>
      </c>
    </row>
    <row r="449" spans="2:25" ht="51" x14ac:dyDescent="0.25">
      <c r="B449" s="2100"/>
      <c r="C449" s="1734"/>
      <c r="D449" s="1734"/>
      <c r="E449" s="1734"/>
      <c r="F449" s="772"/>
      <c r="G449" s="768" t="s">
        <v>172</v>
      </c>
      <c r="H449" s="768" t="s">
        <v>171</v>
      </c>
      <c r="I449" s="906" t="s">
        <v>19</v>
      </c>
      <c r="J449" s="1543">
        <v>99.949400028914269</v>
      </c>
      <c r="K449" s="1543">
        <v>99.791021114073658</v>
      </c>
      <c r="L449" s="1303">
        <f>SUM(L450)</f>
        <v>30000</v>
      </c>
      <c r="M449" s="1544">
        <v>99.797231772899579</v>
      </c>
      <c r="N449" s="1303">
        <f>SUM(N450)</f>
        <v>50000</v>
      </c>
      <c r="O449" s="1544">
        <v>99.797707349966274</v>
      </c>
      <c r="P449" s="1303">
        <f>SUM(P450)</f>
        <v>60000</v>
      </c>
      <c r="Q449" s="1544">
        <v>99.797707349966274</v>
      </c>
      <c r="R449" s="1303">
        <f>SUM(R450)</f>
        <v>45000</v>
      </c>
      <c r="S449" s="1544">
        <v>99.796768621075088</v>
      </c>
      <c r="T449" s="1303">
        <f>SUM(T450)</f>
        <v>50000</v>
      </c>
      <c r="U449" s="1544">
        <v>99.81</v>
      </c>
      <c r="V449" s="1303">
        <f>SUM(V450)</f>
        <v>50000</v>
      </c>
      <c r="W449" s="1303">
        <v>99.796768621075088</v>
      </c>
      <c r="X449" s="1304"/>
      <c r="Y449" s="1536" t="s">
        <v>123</v>
      </c>
    </row>
    <row r="450" spans="2:25" ht="76.5" x14ac:dyDescent="0.25">
      <c r="B450" s="2100"/>
      <c r="C450" s="1734"/>
      <c r="D450" s="1734"/>
      <c r="E450" s="1734"/>
      <c r="F450" s="772"/>
      <c r="G450" s="768" t="s">
        <v>173</v>
      </c>
      <c r="H450" s="768" t="s">
        <v>174</v>
      </c>
      <c r="I450" s="906" t="s">
        <v>103</v>
      </c>
      <c r="J450" s="1303">
        <v>0</v>
      </c>
      <c r="K450" s="773">
        <v>5</v>
      </c>
      <c r="L450" s="1303">
        <v>30000</v>
      </c>
      <c r="M450" s="773">
        <v>12</v>
      </c>
      <c r="N450" s="1303">
        <v>50000</v>
      </c>
      <c r="O450" s="773">
        <v>12</v>
      </c>
      <c r="P450" s="1303">
        <v>60000</v>
      </c>
      <c r="Q450" s="773">
        <v>12</v>
      </c>
      <c r="R450" s="1303">
        <v>45000</v>
      </c>
      <c r="S450" s="773">
        <v>12</v>
      </c>
      <c r="T450" s="1303">
        <v>50000</v>
      </c>
      <c r="U450" s="773">
        <v>12</v>
      </c>
      <c r="V450" s="1303">
        <v>50000</v>
      </c>
      <c r="W450" s="1303">
        <v>53</v>
      </c>
      <c r="X450" s="1304"/>
      <c r="Y450" s="1536" t="s">
        <v>123</v>
      </c>
    </row>
    <row r="451" spans="2:25" ht="63.75" x14ac:dyDescent="0.25">
      <c r="B451" s="2100"/>
      <c r="C451" s="1734"/>
      <c r="D451" s="1734"/>
      <c r="E451" s="1734"/>
      <c r="F451" s="772"/>
      <c r="G451" s="768" t="s">
        <v>176</v>
      </c>
      <c r="H451" s="768" t="s">
        <v>175</v>
      </c>
      <c r="I451" s="906" t="s">
        <v>19</v>
      </c>
      <c r="J451" s="1303">
        <v>100</v>
      </c>
      <c r="K451" s="773">
        <v>100</v>
      </c>
      <c r="L451" s="1303">
        <f>SUM(L452)</f>
        <v>35000</v>
      </c>
      <c r="M451" s="773">
        <v>100</v>
      </c>
      <c r="N451" s="1303">
        <f>SUM(N452)</f>
        <v>45000</v>
      </c>
      <c r="O451" s="773">
        <v>100</v>
      </c>
      <c r="P451" s="1303">
        <f>SUM(P452)</f>
        <v>50000</v>
      </c>
      <c r="Q451" s="773">
        <v>100</v>
      </c>
      <c r="R451" s="1303">
        <f>SUM(R452)</f>
        <v>50000</v>
      </c>
      <c r="S451" s="773">
        <v>100</v>
      </c>
      <c r="T451" s="1303">
        <f>SUM(T452)</f>
        <v>60000</v>
      </c>
      <c r="U451" s="773">
        <v>100</v>
      </c>
      <c r="V451" s="1303">
        <f>SUM(V452)</f>
        <v>60000</v>
      </c>
      <c r="W451" s="1303">
        <v>500</v>
      </c>
      <c r="X451" s="1304"/>
      <c r="Y451" s="1536" t="s">
        <v>123</v>
      </c>
    </row>
    <row r="452" spans="2:25" ht="114.75" x14ac:dyDescent="0.25">
      <c r="B452" s="2100"/>
      <c r="C452" s="1734"/>
      <c r="D452" s="1734"/>
      <c r="E452" s="1734"/>
      <c r="F452" s="772"/>
      <c r="G452" s="768" t="s">
        <v>177</v>
      </c>
      <c r="H452" s="768" t="s">
        <v>178</v>
      </c>
      <c r="I452" s="906" t="s">
        <v>100</v>
      </c>
      <c r="J452" s="1303">
        <v>300</v>
      </c>
      <c r="K452" s="1303">
        <v>300</v>
      </c>
      <c r="L452" s="1303">
        <v>35000</v>
      </c>
      <c r="M452" s="1303">
        <v>300</v>
      </c>
      <c r="N452" s="1303">
        <v>45000</v>
      </c>
      <c r="O452" s="1303">
        <v>300</v>
      </c>
      <c r="P452" s="1303">
        <v>50000</v>
      </c>
      <c r="Q452" s="1303">
        <v>300</v>
      </c>
      <c r="R452" s="1303">
        <v>50000</v>
      </c>
      <c r="S452" s="1303">
        <v>300</v>
      </c>
      <c r="T452" s="1303">
        <v>60000</v>
      </c>
      <c r="U452" s="1303">
        <v>300</v>
      </c>
      <c r="V452" s="1303">
        <v>60000</v>
      </c>
      <c r="W452" s="1303">
        <v>1500</v>
      </c>
      <c r="X452" s="1304"/>
      <c r="Y452" s="1536" t="s">
        <v>123</v>
      </c>
    </row>
    <row r="453" spans="2:25" ht="127.5" x14ac:dyDescent="0.25">
      <c r="B453" s="2100"/>
      <c r="C453" s="1734"/>
      <c r="D453" s="1734"/>
      <c r="E453" s="1734"/>
      <c r="F453" s="772"/>
      <c r="G453" s="768" t="s">
        <v>195</v>
      </c>
      <c r="H453" s="768" t="s">
        <v>194</v>
      </c>
      <c r="I453" s="906" t="s">
        <v>100</v>
      </c>
      <c r="J453" s="1303">
        <v>5145</v>
      </c>
      <c r="K453" s="1303">
        <v>7028</v>
      </c>
      <c r="L453" s="1303">
        <f>SUM(L454:L470)</f>
        <v>2303150</v>
      </c>
      <c r="M453" s="1303">
        <v>4951</v>
      </c>
      <c r="N453" s="1303">
        <f>SUM(N454:N470)</f>
        <v>2512320</v>
      </c>
      <c r="O453" s="1303">
        <v>600</v>
      </c>
      <c r="P453" s="1303">
        <f>SUM(P454:P470)</f>
        <v>2970000</v>
      </c>
      <c r="Q453" s="1303">
        <v>600</v>
      </c>
      <c r="R453" s="1303">
        <f>SUM(R454:R470)</f>
        <v>3022000</v>
      </c>
      <c r="S453" s="1303">
        <v>600</v>
      </c>
      <c r="T453" s="1303">
        <f>SUM(T454:T470)</f>
        <v>3138000</v>
      </c>
      <c r="U453" s="1303">
        <v>600</v>
      </c>
      <c r="V453" s="1303">
        <f>SUM(V454:V470)</f>
        <v>3243000</v>
      </c>
      <c r="W453" s="1303">
        <v>13779</v>
      </c>
      <c r="X453" s="1304"/>
      <c r="Y453" s="1536" t="s">
        <v>123</v>
      </c>
    </row>
    <row r="454" spans="2:25" ht="89.25" x14ac:dyDescent="0.25">
      <c r="B454" s="2100"/>
      <c r="C454" s="1734"/>
      <c r="D454" s="1734"/>
      <c r="E454" s="1734"/>
      <c r="F454" s="772"/>
      <c r="G454" s="768" t="s">
        <v>196</v>
      </c>
      <c r="H454" s="768" t="s">
        <v>197</v>
      </c>
      <c r="I454" s="906" t="s">
        <v>198</v>
      </c>
      <c r="J454" s="773">
        <v>227</v>
      </c>
      <c r="K454" s="773">
        <v>400</v>
      </c>
      <c r="L454" s="1303">
        <v>22000</v>
      </c>
      <c r="M454" s="773">
        <v>450</v>
      </c>
      <c r="N454" s="1303">
        <v>24000</v>
      </c>
      <c r="O454" s="773">
        <v>500</v>
      </c>
      <c r="P454" s="1303">
        <v>30000</v>
      </c>
      <c r="Q454" s="773">
        <v>550</v>
      </c>
      <c r="R454" s="1303">
        <v>35000</v>
      </c>
      <c r="S454" s="773">
        <v>600</v>
      </c>
      <c r="T454" s="1303">
        <v>40000</v>
      </c>
      <c r="U454" s="773">
        <v>600</v>
      </c>
      <c r="V454" s="1303">
        <v>40000</v>
      </c>
      <c r="W454" s="1303">
        <v>2500</v>
      </c>
      <c r="X454" s="1304"/>
      <c r="Y454" s="1536" t="s">
        <v>123</v>
      </c>
    </row>
    <row r="455" spans="2:25" ht="63.75" x14ac:dyDescent="0.25">
      <c r="B455" s="2100"/>
      <c r="C455" s="1734"/>
      <c r="D455" s="1734"/>
      <c r="E455" s="1734"/>
      <c r="F455" s="772"/>
      <c r="G455" s="768" t="s">
        <v>199</v>
      </c>
      <c r="H455" s="768" t="s">
        <v>200</v>
      </c>
      <c r="I455" s="906" t="s">
        <v>100</v>
      </c>
      <c r="J455" s="1303">
        <v>250</v>
      </c>
      <c r="K455" s="773">
        <v>436</v>
      </c>
      <c r="L455" s="1303">
        <v>920000</v>
      </c>
      <c r="M455" s="773">
        <v>500</v>
      </c>
      <c r="N455" s="1303">
        <v>988000</v>
      </c>
      <c r="O455" s="773">
        <v>550</v>
      </c>
      <c r="P455" s="1303">
        <v>1000000</v>
      </c>
      <c r="Q455" s="773">
        <v>550</v>
      </c>
      <c r="R455" s="1303">
        <v>995000</v>
      </c>
      <c r="S455" s="773">
        <v>550</v>
      </c>
      <c r="T455" s="1303">
        <v>1000000</v>
      </c>
      <c r="U455" s="773">
        <v>600</v>
      </c>
      <c r="V455" s="1303">
        <v>1100000</v>
      </c>
      <c r="W455" s="1303">
        <v>2586</v>
      </c>
      <c r="X455" s="1304"/>
      <c r="Y455" s="1536" t="s">
        <v>123</v>
      </c>
    </row>
    <row r="456" spans="2:25" ht="76.5" x14ac:dyDescent="0.25">
      <c r="B456" s="2100"/>
      <c r="C456" s="1734"/>
      <c r="D456" s="1734"/>
      <c r="E456" s="1734"/>
      <c r="F456" s="772"/>
      <c r="G456" s="768" t="s">
        <v>201</v>
      </c>
      <c r="H456" s="768" t="s">
        <v>202</v>
      </c>
      <c r="I456" s="906" t="s">
        <v>100</v>
      </c>
      <c r="J456" s="1303">
        <v>0</v>
      </c>
      <c r="K456" s="773">
        <v>193</v>
      </c>
      <c r="L456" s="1303">
        <v>15000</v>
      </c>
      <c r="M456" s="773">
        <v>436</v>
      </c>
      <c r="N456" s="1303">
        <v>15000</v>
      </c>
      <c r="O456" s="773">
        <v>500</v>
      </c>
      <c r="P456" s="1303">
        <v>30000</v>
      </c>
      <c r="Q456" s="773">
        <v>550</v>
      </c>
      <c r="R456" s="1303">
        <v>60000</v>
      </c>
      <c r="S456" s="773">
        <v>550</v>
      </c>
      <c r="T456" s="1303">
        <v>65000</v>
      </c>
      <c r="U456" s="773">
        <v>550</v>
      </c>
      <c r="V456" s="1303">
        <v>65000</v>
      </c>
      <c r="W456" s="1303">
        <v>2229</v>
      </c>
      <c r="X456" s="1304"/>
      <c r="Y456" s="1536" t="s">
        <v>123</v>
      </c>
    </row>
    <row r="457" spans="2:25" ht="89.25" x14ac:dyDescent="0.25">
      <c r="B457" s="2100"/>
      <c r="C457" s="1734"/>
      <c r="D457" s="1734"/>
      <c r="E457" s="1734"/>
      <c r="F457" s="772"/>
      <c r="G457" s="768" t="s">
        <v>203</v>
      </c>
      <c r="H457" s="768" t="s">
        <v>204</v>
      </c>
      <c r="I457" s="906" t="s">
        <v>100</v>
      </c>
      <c r="J457" s="1303">
        <v>3000</v>
      </c>
      <c r="K457" s="773">
        <v>3000</v>
      </c>
      <c r="L457" s="1303">
        <v>400000</v>
      </c>
      <c r="M457" s="773">
        <v>2500</v>
      </c>
      <c r="N457" s="1303">
        <v>350000</v>
      </c>
      <c r="O457" s="773">
        <v>2500</v>
      </c>
      <c r="P457" s="1303">
        <v>400000</v>
      </c>
      <c r="Q457" s="773">
        <v>3000</v>
      </c>
      <c r="R457" s="1303">
        <v>450000</v>
      </c>
      <c r="S457" s="773">
        <v>3000</v>
      </c>
      <c r="T457" s="1303">
        <v>450000</v>
      </c>
      <c r="U457" s="773">
        <v>3000</v>
      </c>
      <c r="V457" s="1303">
        <v>450000</v>
      </c>
      <c r="W457" s="1303">
        <v>14000</v>
      </c>
      <c r="X457" s="1304"/>
      <c r="Y457" s="1536" t="s">
        <v>123</v>
      </c>
    </row>
    <row r="458" spans="2:25" ht="165.75" x14ac:dyDescent="0.25">
      <c r="B458" s="2100"/>
      <c r="C458" s="1734"/>
      <c r="D458" s="1734"/>
      <c r="E458" s="1734"/>
      <c r="F458" s="772"/>
      <c r="G458" s="768" t="s">
        <v>205</v>
      </c>
      <c r="H458" s="768" t="s">
        <v>206</v>
      </c>
      <c r="I458" s="906" t="s">
        <v>207</v>
      </c>
      <c r="J458" s="1303">
        <v>14000</v>
      </c>
      <c r="K458" s="773">
        <v>13877</v>
      </c>
      <c r="L458" s="1303">
        <v>50000</v>
      </c>
      <c r="M458" s="773">
        <v>11343</v>
      </c>
      <c r="N458" s="1303">
        <v>50000</v>
      </c>
      <c r="O458" s="773">
        <v>10890</v>
      </c>
      <c r="P458" s="1303">
        <v>90000</v>
      </c>
      <c r="Q458" s="773">
        <v>10581</v>
      </c>
      <c r="R458" s="1303">
        <v>100000</v>
      </c>
      <c r="S458" s="773">
        <v>9841</v>
      </c>
      <c r="T458" s="1303">
        <v>110000</v>
      </c>
      <c r="U458" s="773">
        <v>9841</v>
      </c>
      <c r="V458" s="1303">
        <v>110000</v>
      </c>
      <c r="W458" s="1303">
        <v>56532</v>
      </c>
      <c r="X458" s="1304"/>
      <c r="Y458" s="1536" t="s">
        <v>123</v>
      </c>
    </row>
    <row r="459" spans="2:25" ht="51" x14ac:dyDescent="0.25">
      <c r="B459" s="2100"/>
      <c r="C459" s="1734"/>
      <c r="D459" s="1734"/>
      <c r="E459" s="1734"/>
      <c r="F459" s="772"/>
      <c r="G459" s="768" t="s">
        <v>208</v>
      </c>
      <c r="H459" s="768" t="s">
        <v>209</v>
      </c>
      <c r="I459" s="906" t="s">
        <v>100</v>
      </c>
      <c r="J459" s="1303">
        <v>25</v>
      </c>
      <c r="K459" s="773">
        <v>25</v>
      </c>
      <c r="L459" s="1303">
        <v>20000</v>
      </c>
      <c r="M459" s="773">
        <v>25</v>
      </c>
      <c r="N459" s="1303">
        <v>20000</v>
      </c>
      <c r="O459" s="773">
        <v>40</v>
      </c>
      <c r="P459" s="1303">
        <v>60000</v>
      </c>
      <c r="Q459" s="773">
        <v>40</v>
      </c>
      <c r="R459" s="1303">
        <v>80000</v>
      </c>
      <c r="S459" s="773">
        <v>50</v>
      </c>
      <c r="T459" s="1303">
        <v>80000</v>
      </c>
      <c r="U459" s="773">
        <v>50</v>
      </c>
      <c r="V459" s="1303">
        <v>80000</v>
      </c>
      <c r="W459" s="1303">
        <v>180</v>
      </c>
      <c r="X459" s="1304"/>
      <c r="Y459" s="1536" t="s">
        <v>123</v>
      </c>
    </row>
    <row r="460" spans="2:25" ht="153" x14ac:dyDescent="0.25">
      <c r="B460" s="2100"/>
      <c r="C460" s="1734"/>
      <c r="D460" s="1734"/>
      <c r="E460" s="1734"/>
      <c r="F460" s="772"/>
      <c r="G460" s="768" t="s">
        <v>210</v>
      </c>
      <c r="H460" s="768" t="s">
        <v>211</v>
      </c>
      <c r="I460" s="906" t="s">
        <v>212</v>
      </c>
      <c r="J460" s="773">
        <v>1150</v>
      </c>
      <c r="K460" s="773">
        <v>825</v>
      </c>
      <c r="L460" s="1303">
        <v>15000</v>
      </c>
      <c r="M460" s="773">
        <v>875</v>
      </c>
      <c r="N460" s="1303">
        <v>32320</v>
      </c>
      <c r="O460" s="773">
        <v>750</v>
      </c>
      <c r="P460" s="1303">
        <v>36000</v>
      </c>
      <c r="Q460" s="773">
        <v>750</v>
      </c>
      <c r="R460" s="1303">
        <v>47000</v>
      </c>
      <c r="S460" s="773">
        <v>750</v>
      </c>
      <c r="T460" s="1303">
        <v>48000</v>
      </c>
      <c r="U460" s="773">
        <v>750</v>
      </c>
      <c r="V460" s="1303">
        <v>48000</v>
      </c>
      <c r="W460" s="1303">
        <v>3950</v>
      </c>
      <c r="X460" s="1304"/>
      <c r="Y460" s="1536" t="s">
        <v>123</v>
      </c>
    </row>
    <row r="461" spans="2:25" ht="114.75" x14ac:dyDescent="0.25">
      <c r="B461" s="2100"/>
      <c r="C461" s="1734"/>
      <c r="D461" s="1734"/>
      <c r="E461" s="1734"/>
      <c r="F461" s="772"/>
      <c r="G461" s="768" t="s">
        <v>213</v>
      </c>
      <c r="H461" s="768" t="s">
        <v>214</v>
      </c>
      <c r="I461" s="906" t="s">
        <v>19</v>
      </c>
      <c r="J461" s="1303">
        <v>100</v>
      </c>
      <c r="K461" s="773">
        <v>100</v>
      </c>
      <c r="L461" s="1303">
        <v>35000</v>
      </c>
      <c r="M461" s="773">
        <v>100</v>
      </c>
      <c r="N461" s="1303">
        <v>37000</v>
      </c>
      <c r="O461" s="773">
        <v>100</v>
      </c>
      <c r="P461" s="1303">
        <v>49000</v>
      </c>
      <c r="Q461" s="773">
        <v>100</v>
      </c>
      <c r="R461" s="1303">
        <v>50000</v>
      </c>
      <c r="S461" s="773">
        <v>100</v>
      </c>
      <c r="T461" s="1303">
        <v>55000</v>
      </c>
      <c r="U461" s="773">
        <v>100</v>
      </c>
      <c r="V461" s="1303">
        <v>55000</v>
      </c>
      <c r="W461" s="1303">
        <v>500</v>
      </c>
      <c r="X461" s="1304"/>
      <c r="Y461" s="1536" t="s">
        <v>123</v>
      </c>
    </row>
    <row r="462" spans="2:25" ht="76.5" x14ac:dyDescent="0.25">
      <c r="B462" s="2100"/>
      <c r="C462" s="1734"/>
      <c r="D462" s="1734"/>
      <c r="E462" s="1734"/>
      <c r="F462" s="772"/>
      <c r="G462" s="768" t="s">
        <v>215</v>
      </c>
      <c r="H462" s="768" t="s">
        <v>216</v>
      </c>
      <c r="I462" s="906" t="s">
        <v>100</v>
      </c>
      <c r="J462" s="1303">
        <v>25</v>
      </c>
      <c r="K462" s="773">
        <v>25</v>
      </c>
      <c r="L462" s="1303">
        <v>115000</v>
      </c>
      <c r="M462" s="773">
        <v>25</v>
      </c>
      <c r="N462" s="1303">
        <v>125000</v>
      </c>
      <c r="O462" s="773">
        <v>35</v>
      </c>
      <c r="P462" s="1303">
        <v>70000</v>
      </c>
      <c r="Q462" s="773">
        <v>35</v>
      </c>
      <c r="R462" s="1303">
        <v>80000</v>
      </c>
      <c r="S462" s="773">
        <v>35</v>
      </c>
      <c r="T462" s="1303">
        <v>90000</v>
      </c>
      <c r="U462" s="773">
        <v>35</v>
      </c>
      <c r="V462" s="1303">
        <v>90000</v>
      </c>
      <c r="W462" s="1303">
        <v>155</v>
      </c>
      <c r="X462" s="1304"/>
      <c r="Y462" s="1536" t="s">
        <v>123</v>
      </c>
    </row>
    <row r="463" spans="2:25" ht="38.25" x14ac:dyDescent="0.25">
      <c r="B463" s="2100"/>
      <c r="C463" s="1734"/>
      <c r="D463" s="1734"/>
      <c r="E463" s="1734"/>
      <c r="F463" s="772"/>
      <c r="G463" s="768" t="s">
        <v>217</v>
      </c>
      <c r="H463" s="768" t="s">
        <v>218</v>
      </c>
      <c r="I463" s="906" t="s">
        <v>219</v>
      </c>
      <c r="J463" s="1303">
        <v>0</v>
      </c>
      <c r="K463" s="773">
        <v>7</v>
      </c>
      <c r="L463" s="1303">
        <v>20000</v>
      </c>
      <c r="M463" s="773">
        <v>7</v>
      </c>
      <c r="N463" s="1303">
        <v>20000</v>
      </c>
      <c r="O463" s="773">
        <v>7</v>
      </c>
      <c r="P463" s="1303">
        <v>60000</v>
      </c>
      <c r="Q463" s="773">
        <v>7</v>
      </c>
      <c r="R463" s="1303">
        <v>80000</v>
      </c>
      <c r="S463" s="773">
        <v>7</v>
      </c>
      <c r="T463" s="1303">
        <v>80000</v>
      </c>
      <c r="U463" s="773">
        <v>7</v>
      </c>
      <c r="V463" s="1303">
        <v>80000</v>
      </c>
      <c r="W463" s="1303">
        <v>35</v>
      </c>
      <c r="X463" s="1304"/>
      <c r="Y463" s="1536" t="s">
        <v>123</v>
      </c>
    </row>
    <row r="464" spans="2:25" ht="127.5" x14ac:dyDescent="0.25">
      <c r="B464" s="2100"/>
      <c r="C464" s="1734"/>
      <c r="D464" s="1734"/>
      <c r="E464" s="1734"/>
      <c r="F464" s="772"/>
      <c r="G464" s="768" t="s">
        <v>107</v>
      </c>
      <c r="H464" s="768" t="s">
        <v>220</v>
      </c>
      <c r="I464" s="906" t="s">
        <v>221</v>
      </c>
      <c r="J464" s="773">
        <v>217</v>
      </c>
      <c r="K464" s="773">
        <v>217</v>
      </c>
      <c r="L464" s="1303">
        <v>35000</v>
      </c>
      <c r="M464" s="773">
        <v>217</v>
      </c>
      <c r="N464" s="1303">
        <v>37000</v>
      </c>
      <c r="O464" s="773">
        <v>217</v>
      </c>
      <c r="P464" s="1303">
        <v>45000</v>
      </c>
      <c r="Q464" s="773">
        <v>217</v>
      </c>
      <c r="R464" s="1303">
        <v>50000</v>
      </c>
      <c r="S464" s="773">
        <v>217</v>
      </c>
      <c r="T464" s="1303">
        <v>55000</v>
      </c>
      <c r="U464" s="773">
        <v>217</v>
      </c>
      <c r="V464" s="1303">
        <v>55000</v>
      </c>
      <c r="W464" s="1303">
        <v>1085</v>
      </c>
      <c r="X464" s="1304"/>
      <c r="Y464" s="1536" t="s">
        <v>123</v>
      </c>
    </row>
    <row r="465" spans="2:25" ht="76.5" x14ac:dyDescent="0.25">
      <c r="B465" s="2100"/>
      <c r="C465" s="1734"/>
      <c r="D465" s="1734"/>
      <c r="E465" s="1734"/>
      <c r="F465" s="772"/>
      <c r="G465" s="768" t="s">
        <v>222</v>
      </c>
      <c r="H465" s="768" t="s">
        <v>223</v>
      </c>
      <c r="I465" s="906" t="s">
        <v>103</v>
      </c>
      <c r="J465" s="773">
        <v>0</v>
      </c>
      <c r="K465" s="773">
        <v>3</v>
      </c>
      <c r="L465" s="1303">
        <v>50000</v>
      </c>
      <c r="M465" s="773">
        <v>3</v>
      </c>
      <c r="N465" s="1303">
        <v>50000</v>
      </c>
      <c r="O465" s="773">
        <v>3</v>
      </c>
      <c r="P465" s="1303">
        <v>80000</v>
      </c>
      <c r="Q465" s="773">
        <v>3</v>
      </c>
      <c r="R465" s="1303">
        <v>100000</v>
      </c>
      <c r="S465" s="773">
        <v>3</v>
      </c>
      <c r="T465" s="1303">
        <v>100000</v>
      </c>
      <c r="U465" s="773">
        <v>3</v>
      </c>
      <c r="V465" s="1303">
        <v>100000</v>
      </c>
      <c r="W465" s="1303">
        <v>15</v>
      </c>
      <c r="X465" s="1304"/>
      <c r="Y465" s="1536" t="s">
        <v>123</v>
      </c>
    </row>
    <row r="466" spans="2:25" ht="140.25" x14ac:dyDescent="0.25">
      <c r="B466" s="2100"/>
      <c r="C466" s="1734"/>
      <c r="D466" s="1734"/>
      <c r="E466" s="1734"/>
      <c r="F466" s="772"/>
      <c r="G466" s="768" t="s">
        <v>224</v>
      </c>
      <c r="H466" s="768" t="s">
        <v>225</v>
      </c>
      <c r="I466" s="906" t="s">
        <v>100</v>
      </c>
      <c r="J466" s="1303">
        <v>500</v>
      </c>
      <c r="K466" s="773">
        <v>500</v>
      </c>
      <c r="L466" s="1303">
        <v>415000</v>
      </c>
      <c r="M466" s="773">
        <v>350</v>
      </c>
      <c r="N466" s="1303">
        <v>565000</v>
      </c>
      <c r="O466" s="773">
        <v>350</v>
      </c>
      <c r="P466" s="1303">
        <v>760000</v>
      </c>
      <c r="Q466" s="773">
        <v>350</v>
      </c>
      <c r="R466" s="1303">
        <v>600000</v>
      </c>
      <c r="S466" s="773">
        <v>350</v>
      </c>
      <c r="T466" s="1303">
        <v>650000</v>
      </c>
      <c r="U466" s="773">
        <v>350</v>
      </c>
      <c r="V466" s="1303">
        <v>650000</v>
      </c>
      <c r="W466" s="1303">
        <v>1900</v>
      </c>
      <c r="X466" s="1304"/>
      <c r="Y466" s="1536" t="s">
        <v>123</v>
      </c>
    </row>
    <row r="467" spans="2:25" ht="76.5" x14ac:dyDescent="0.25">
      <c r="B467" s="2100"/>
      <c r="C467" s="1734"/>
      <c r="D467" s="1734"/>
      <c r="E467" s="1734"/>
      <c r="F467" s="772"/>
      <c r="G467" s="1492" t="s">
        <v>226</v>
      </c>
      <c r="H467" s="768" t="s">
        <v>227</v>
      </c>
      <c r="I467" s="906" t="s">
        <v>100</v>
      </c>
      <c r="J467" s="1303">
        <v>232</v>
      </c>
      <c r="K467" s="773">
        <v>250</v>
      </c>
      <c r="L467" s="1303">
        <v>13000</v>
      </c>
      <c r="M467" s="773">
        <v>250</v>
      </c>
      <c r="N467" s="1303">
        <v>20000</v>
      </c>
      <c r="O467" s="773">
        <v>436</v>
      </c>
      <c r="P467" s="1303">
        <v>30000</v>
      </c>
      <c r="Q467" s="773">
        <v>500</v>
      </c>
      <c r="R467" s="1303">
        <v>50000</v>
      </c>
      <c r="S467" s="773">
        <v>550</v>
      </c>
      <c r="T467" s="1303">
        <v>55000</v>
      </c>
      <c r="U467" s="773">
        <v>550</v>
      </c>
      <c r="V467" s="1303">
        <v>60000</v>
      </c>
      <c r="W467" s="1303">
        <v>1986</v>
      </c>
      <c r="X467" s="1304"/>
      <c r="Y467" s="1536" t="s">
        <v>123</v>
      </c>
    </row>
    <row r="468" spans="2:25" ht="89.25" x14ac:dyDescent="0.25">
      <c r="B468" s="2100"/>
      <c r="C468" s="1734"/>
      <c r="D468" s="1734"/>
      <c r="E468" s="1734"/>
      <c r="F468" s="772"/>
      <c r="G468" s="768" t="s">
        <v>228</v>
      </c>
      <c r="H468" s="768" t="s">
        <v>229</v>
      </c>
      <c r="I468" s="906" t="s">
        <v>100</v>
      </c>
      <c r="J468" s="1303">
        <v>280</v>
      </c>
      <c r="K468" s="773">
        <v>550</v>
      </c>
      <c r="L468" s="1303">
        <v>90000</v>
      </c>
      <c r="M468" s="773">
        <v>550</v>
      </c>
      <c r="N468" s="1303">
        <v>90000</v>
      </c>
      <c r="O468" s="773">
        <v>600</v>
      </c>
      <c r="P468" s="1303">
        <v>115000</v>
      </c>
      <c r="Q468" s="773">
        <v>600</v>
      </c>
      <c r="R468" s="1303">
        <v>125000</v>
      </c>
      <c r="S468" s="773">
        <v>600</v>
      </c>
      <c r="T468" s="1303">
        <v>135000</v>
      </c>
      <c r="U468" s="773">
        <v>600</v>
      </c>
      <c r="V468" s="1303">
        <v>135000</v>
      </c>
      <c r="W468" s="1303">
        <v>2900</v>
      </c>
      <c r="X468" s="1304"/>
      <c r="Y468" s="1536" t="s">
        <v>123</v>
      </c>
    </row>
    <row r="469" spans="2:25" ht="63.75" x14ac:dyDescent="0.25">
      <c r="B469" s="2100"/>
      <c r="C469" s="1734"/>
      <c r="D469" s="1734"/>
      <c r="E469" s="1734"/>
      <c r="F469" s="772"/>
      <c r="G469" s="768" t="s">
        <v>230</v>
      </c>
      <c r="H469" s="768" t="s">
        <v>231</v>
      </c>
      <c r="I469" s="906" t="s">
        <v>79</v>
      </c>
      <c r="J469" s="1303">
        <v>2</v>
      </c>
      <c r="K469" s="773">
        <v>2</v>
      </c>
      <c r="L469" s="1303">
        <v>54000</v>
      </c>
      <c r="M469" s="773">
        <v>2</v>
      </c>
      <c r="N469" s="1303">
        <v>54000</v>
      </c>
      <c r="O469" s="773">
        <v>2</v>
      </c>
      <c r="P469" s="1303">
        <v>70000</v>
      </c>
      <c r="Q469" s="773">
        <v>2</v>
      </c>
      <c r="R469" s="1303">
        <v>70000</v>
      </c>
      <c r="S469" s="773">
        <v>2</v>
      </c>
      <c r="T469" s="1303">
        <v>70000</v>
      </c>
      <c r="U469" s="773">
        <v>2</v>
      </c>
      <c r="V469" s="1303">
        <v>70000</v>
      </c>
      <c r="W469" s="1303">
        <v>10</v>
      </c>
      <c r="X469" s="1304"/>
      <c r="Y469" s="1536" t="s">
        <v>123</v>
      </c>
    </row>
    <row r="470" spans="2:25" ht="38.25" x14ac:dyDescent="0.25">
      <c r="B470" s="2101"/>
      <c r="C470" s="1735"/>
      <c r="D470" s="1735"/>
      <c r="E470" s="1735"/>
      <c r="F470" s="774"/>
      <c r="G470" s="1492" t="s">
        <v>232</v>
      </c>
      <c r="H470" s="768" t="s">
        <v>233</v>
      </c>
      <c r="I470" s="906" t="s">
        <v>234</v>
      </c>
      <c r="J470" s="773">
        <v>5145</v>
      </c>
      <c r="K470" s="773">
        <v>7028</v>
      </c>
      <c r="L470" s="1303">
        <v>34150</v>
      </c>
      <c r="M470" s="773">
        <v>4951</v>
      </c>
      <c r="N470" s="1303">
        <v>35000</v>
      </c>
      <c r="O470" s="773">
        <v>600</v>
      </c>
      <c r="P470" s="1303">
        <v>45000</v>
      </c>
      <c r="Q470" s="773">
        <v>600</v>
      </c>
      <c r="R470" s="1303">
        <v>50000</v>
      </c>
      <c r="S470" s="773">
        <v>600</v>
      </c>
      <c r="T470" s="1303">
        <v>55000</v>
      </c>
      <c r="U470" s="773">
        <v>600</v>
      </c>
      <c r="V470" s="1303">
        <v>55000</v>
      </c>
      <c r="W470" s="1303">
        <v>13779</v>
      </c>
      <c r="X470" s="1304"/>
      <c r="Y470" s="1536" t="s">
        <v>123</v>
      </c>
    </row>
    <row r="471" spans="2:25" ht="13.5" thickBot="1" x14ac:dyDescent="0.3">
      <c r="B471" s="1545" t="s">
        <v>1812</v>
      </c>
      <c r="C471" s="1306"/>
      <c r="D471" s="1307"/>
      <c r="E471" s="1307"/>
      <c r="F471" s="1308"/>
      <c r="G471" s="1309"/>
      <c r="H471" s="1310"/>
      <c r="I471" s="1311"/>
      <c r="J471" s="1312"/>
      <c r="K471" s="1312"/>
      <c r="L471" s="1312">
        <f>SUM(L400:L470)/2</f>
        <v>7333274</v>
      </c>
      <c r="M471" s="1312"/>
      <c r="N471" s="1312">
        <f>SUM(N400:N470)/2</f>
        <v>7802278</v>
      </c>
      <c r="O471" s="1312"/>
      <c r="P471" s="1312">
        <f>SUM(P400:P470)/2</f>
        <v>10182625</v>
      </c>
      <c r="Q471" s="1312"/>
      <c r="R471" s="1312">
        <f>SUM(R400:R470)/2</f>
        <v>10253275</v>
      </c>
      <c r="S471" s="1312"/>
      <c r="T471" s="1312">
        <f>SUM(T400:T470)/2</f>
        <v>10937125</v>
      </c>
      <c r="U471" s="1312"/>
      <c r="V471" s="1312">
        <f>SUM(V400:V470)/2</f>
        <v>11042125</v>
      </c>
      <c r="W471" s="1313"/>
      <c r="X471" s="926"/>
      <c r="Y471" s="1314"/>
    </row>
    <row r="472" spans="2:25" ht="13.5" thickTop="1" x14ac:dyDescent="0.25">
      <c r="B472" s="1315"/>
      <c r="C472" s="1315"/>
      <c r="D472" s="1315"/>
      <c r="E472" s="1315"/>
      <c r="F472" s="1315"/>
      <c r="G472" s="1316"/>
      <c r="H472" s="166"/>
      <c r="I472" s="1317"/>
      <c r="J472" s="1318"/>
      <c r="K472" s="1318"/>
      <c r="L472" s="1318"/>
      <c r="M472" s="1318"/>
      <c r="N472" s="1318"/>
      <c r="O472" s="1318"/>
      <c r="P472" s="1318"/>
      <c r="Q472" s="1318"/>
      <c r="R472" s="1318"/>
      <c r="S472" s="1318"/>
      <c r="T472" s="1318"/>
      <c r="U472" s="1318"/>
      <c r="V472" s="1318"/>
      <c r="W472" s="1319"/>
      <c r="X472" s="1315"/>
      <c r="Y472" s="1315"/>
    </row>
    <row r="473" spans="2:25" x14ac:dyDescent="0.25">
      <c r="B473" s="1315"/>
      <c r="C473" s="1315"/>
      <c r="D473" s="1315"/>
      <c r="E473" s="1315"/>
      <c r="F473" s="1315"/>
      <c r="G473" s="1316"/>
      <c r="H473" s="166"/>
      <c r="I473" s="1317"/>
      <c r="J473" s="1318"/>
      <c r="K473" s="1318"/>
      <c r="L473" s="1318"/>
      <c r="M473" s="1318"/>
      <c r="N473" s="1318"/>
      <c r="O473" s="1318"/>
      <c r="P473" s="1318"/>
      <c r="Q473" s="1318"/>
      <c r="R473" s="1318"/>
      <c r="S473" s="1318"/>
      <c r="T473" s="1318"/>
      <c r="U473" s="1318"/>
      <c r="V473" s="1318"/>
      <c r="W473" s="1319"/>
      <c r="X473" s="1315"/>
      <c r="Y473" s="1315"/>
    </row>
    <row r="474" spans="2:25" ht="13.5" thickBot="1" x14ac:dyDescent="0.3">
      <c r="B474" s="1894" t="s">
        <v>1149</v>
      </c>
      <c r="C474" s="1315"/>
      <c r="D474" s="1315"/>
      <c r="E474" s="1315"/>
      <c r="F474" s="1315"/>
      <c r="G474" s="1316"/>
      <c r="H474" s="166"/>
      <c r="I474" s="1317"/>
      <c r="J474" s="1318"/>
      <c r="K474" s="1318"/>
      <c r="L474" s="1318"/>
      <c r="M474" s="1318"/>
      <c r="N474" s="1318"/>
      <c r="O474" s="1318"/>
      <c r="P474" s="1318"/>
      <c r="Q474" s="1318"/>
      <c r="R474" s="1318"/>
      <c r="S474" s="1318"/>
      <c r="T474" s="1318"/>
      <c r="U474" s="1318"/>
      <c r="V474" s="1318"/>
      <c r="W474" s="1319"/>
      <c r="X474" s="1315"/>
      <c r="Y474" s="1315"/>
    </row>
    <row r="475" spans="2:25" ht="13.5" thickTop="1" x14ac:dyDescent="0.25">
      <c r="B475" s="2045" t="s">
        <v>494</v>
      </c>
      <c r="C475" s="2040" t="s">
        <v>752</v>
      </c>
      <c r="D475" s="2040" t="s">
        <v>576</v>
      </c>
      <c r="E475" s="2040" t="s">
        <v>577</v>
      </c>
      <c r="F475" s="2040" t="s">
        <v>3127</v>
      </c>
      <c r="G475" s="2040" t="s">
        <v>3128</v>
      </c>
      <c r="H475" s="2040" t="s">
        <v>966</v>
      </c>
      <c r="I475" s="2040" t="s">
        <v>421</v>
      </c>
      <c r="J475" s="2055" t="s">
        <v>967</v>
      </c>
      <c r="K475" s="2053" t="s">
        <v>7</v>
      </c>
      <c r="L475" s="2054"/>
      <c r="M475" s="2054"/>
      <c r="N475" s="2054"/>
      <c r="O475" s="2054"/>
      <c r="P475" s="2054"/>
      <c r="Q475" s="2054"/>
      <c r="R475" s="2054"/>
      <c r="S475" s="2054"/>
      <c r="T475" s="2054"/>
      <c r="U475" s="2054"/>
      <c r="V475" s="2054"/>
      <c r="W475" s="2054"/>
      <c r="X475" s="2040" t="s">
        <v>653</v>
      </c>
      <c r="Y475" s="2049" t="s">
        <v>1147</v>
      </c>
    </row>
    <row r="476" spans="2:25" x14ac:dyDescent="0.25">
      <c r="B476" s="2046"/>
      <c r="C476" s="2041"/>
      <c r="D476" s="2041"/>
      <c r="E476" s="2041"/>
      <c r="F476" s="2041"/>
      <c r="G476" s="2041"/>
      <c r="H476" s="2041"/>
      <c r="I476" s="2041"/>
      <c r="J476" s="2052"/>
      <c r="K476" s="2051" t="s">
        <v>114</v>
      </c>
      <c r="L476" s="2038"/>
      <c r="M476" s="2051" t="s">
        <v>115</v>
      </c>
      <c r="N476" s="2038"/>
      <c r="O476" s="2051" t="s">
        <v>116</v>
      </c>
      <c r="P476" s="2038"/>
      <c r="Q476" s="2051" t="s">
        <v>117</v>
      </c>
      <c r="R476" s="2038"/>
      <c r="S476" s="2051" t="s">
        <v>118</v>
      </c>
      <c r="T476" s="2038"/>
      <c r="U476" s="2051" t="s">
        <v>119</v>
      </c>
      <c r="V476" s="2038"/>
      <c r="W476" s="2052" t="s">
        <v>968</v>
      </c>
      <c r="X476" s="2041"/>
      <c r="Y476" s="2050"/>
    </row>
    <row r="477" spans="2:25" x14ac:dyDescent="0.25">
      <c r="B477" s="2046"/>
      <c r="C477" s="2041"/>
      <c r="D477" s="2041"/>
      <c r="E477" s="2041"/>
      <c r="F477" s="2041"/>
      <c r="G477" s="2041"/>
      <c r="H477" s="2041"/>
      <c r="I477" s="2041"/>
      <c r="J477" s="2052"/>
      <c r="K477" s="1263" t="s">
        <v>9</v>
      </c>
      <c r="L477" s="1503" t="s">
        <v>3107</v>
      </c>
      <c r="M477" s="1263" t="s">
        <v>9</v>
      </c>
      <c r="N477" s="1503" t="s">
        <v>1355</v>
      </c>
      <c r="O477" s="1263" t="s">
        <v>9</v>
      </c>
      <c r="P477" s="1503" t="s">
        <v>1355</v>
      </c>
      <c r="Q477" s="1263" t="s">
        <v>9</v>
      </c>
      <c r="R477" s="1503" t="s">
        <v>1355</v>
      </c>
      <c r="S477" s="1263" t="s">
        <v>9</v>
      </c>
      <c r="T477" s="1503" t="s">
        <v>1355</v>
      </c>
      <c r="U477" s="1263" t="s">
        <v>9</v>
      </c>
      <c r="V477" s="1503" t="s">
        <v>1355</v>
      </c>
      <c r="W477" s="2052"/>
      <c r="X477" s="2041"/>
      <c r="Y477" s="2050"/>
    </row>
    <row r="478" spans="2:25" ht="89.25" customHeight="1" x14ac:dyDescent="0.25">
      <c r="B478" s="2011" t="s">
        <v>2968</v>
      </c>
      <c r="C478" s="2013" t="s">
        <v>755</v>
      </c>
      <c r="D478" s="2013" t="s">
        <v>3941</v>
      </c>
      <c r="E478" s="2013" t="s">
        <v>3942</v>
      </c>
      <c r="F478" s="673" t="s">
        <v>756</v>
      </c>
      <c r="G478" s="173" t="s">
        <v>3138</v>
      </c>
      <c r="H478" s="673" t="s">
        <v>756</v>
      </c>
      <c r="I478" s="1473" t="s">
        <v>19</v>
      </c>
      <c r="J478" s="173">
        <v>75</v>
      </c>
      <c r="K478" s="173">
        <v>75</v>
      </c>
      <c r="L478" s="1447">
        <f>L479</f>
        <v>300000</v>
      </c>
      <c r="M478" s="173">
        <v>75</v>
      </c>
      <c r="N478" s="1447">
        <f>N479</f>
        <v>625000</v>
      </c>
      <c r="O478" s="173">
        <v>75</v>
      </c>
      <c r="P478" s="1447">
        <f>P479</f>
        <v>325000</v>
      </c>
      <c r="Q478" s="173">
        <v>75</v>
      </c>
      <c r="R478" s="1447">
        <f>R479</f>
        <v>350000</v>
      </c>
      <c r="S478" s="173">
        <v>75</v>
      </c>
      <c r="T478" s="1447">
        <f>T479</f>
        <v>350000</v>
      </c>
      <c r="U478" s="173">
        <v>75</v>
      </c>
      <c r="V478" s="1447">
        <f>V479</f>
        <v>350000</v>
      </c>
      <c r="W478" s="173">
        <v>75</v>
      </c>
      <c r="X478" s="173"/>
      <c r="Y478" s="1474" t="s">
        <v>1149</v>
      </c>
    </row>
    <row r="479" spans="2:25" ht="51" x14ac:dyDescent="0.25">
      <c r="B479" s="2012"/>
      <c r="C479" s="2014"/>
      <c r="D479" s="2014"/>
      <c r="E479" s="2014"/>
      <c r="F479" s="673"/>
      <c r="G479" s="173" t="s">
        <v>757</v>
      </c>
      <c r="H479" s="173" t="s">
        <v>758</v>
      </c>
      <c r="I479" s="1473" t="s">
        <v>79</v>
      </c>
      <c r="J479" s="173">
        <v>0</v>
      </c>
      <c r="K479" s="1480">
        <v>1</v>
      </c>
      <c r="L479" s="1480">
        <f>SUM(L480:L481)</f>
        <v>300000</v>
      </c>
      <c r="M479" s="1480">
        <v>2</v>
      </c>
      <c r="N479" s="1480">
        <f>SUM(N480:N481)</f>
        <v>625000</v>
      </c>
      <c r="O479" s="1480">
        <v>1</v>
      </c>
      <c r="P479" s="1480">
        <f>SUM(P480:P481)</f>
        <v>325000</v>
      </c>
      <c r="Q479" s="1480">
        <v>1</v>
      </c>
      <c r="R479" s="1480">
        <f>SUM(R480:R481)</f>
        <v>350000</v>
      </c>
      <c r="S479" s="1480">
        <v>0</v>
      </c>
      <c r="T479" s="1480">
        <f>SUM(T480:T481)</f>
        <v>350000</v>
      </c>
      <c r="U479" s="1480">
        <v>0</v>
      </c>
      <c r="V479" s="1480">
        <f>SUM(V480:V481)</f>
        <v>350000</v>
      </c>
      <c r="W479" s="1480"/>
      <c r="X479" s="173"/>
      <c r="Y479" s="1474" t="s">
        <v>1149</v>
      </c>
    </row>
    <row r="480" spans="2:25" ht="51" x14ac:dyDescent="0.25">
      <c r="B480" s="2012"/>
      <c r="C480" s="2014"/>
      <c r="D480" s="2014"/>
      <c r="E480" s="2014"/>
      <c r="F480" s="674"/>
      <c r="G480" s="173" t="s">
        <v>759</v>
      </c>
      <c r="H480" s="173" t="s">
        <v>760</v>
      </c>
      <c r="I480" s="1473" t="s">
        <v>79</v>
      </c>
      <c r="J480" s="173"/>
      <c r="K480" s="1480">
        <v>1</v>
      </c>
      <c r="L480" s="1480">
        <v>300000</v>
      </c>
      <c r="M480" s="1480">
        <v>1</v>
      </c>
      <c r="N480" s="1480">
        <v>325000</v>
      </c>
      <c r="O480" s="1480">
        <v>1</v>
      </c>
      <c r="P480" s="1480">
        <v>325000</v>
      </c>
      <c r="Q480" s="1480">
        <v>1</v>
      </c>
      <c r="R480" s="1480">
        <v>350000</v>
      </c>
      <c r="S480" s="1480">
        <v>0</v>
      </c>
      <c r="T480" s="1480">
        <v>350000</v>
      </c>
      <c r="U480" s="1480">
        <v>0</v>
      </c>
      <c r="V480" s="1480">
        <v>350000</v>
      </c>
      <c r="W480" s="1480"/>
      <c r="X480" s="173"/>
      <c r="Y480" s="1474" t="s">
        <v>1149</v>
      </c>
    </row>
    <row r="481" spans="2:25" ht="63.75" x14ac:dyDescent="0.25">
      <c r="B481" s="2015"/>
      <c r="C481" s="2044"/>
      <c r="D481" s="2044"/>
      <c r="E481" s="2044"/>
      <c r="F481" s="675"/>
      <c r="G481" s="173" t="s">
        <v>761</v>
      </c>
      <c r="H481" s="173" t="s">
        <v>3688</v>
      </c>
      <c r="I481" s="1473" t="s">
        <v>79</v>
      </c>
      <c r="J481" s="173"/>
      <c r="K481" s="1480">
        <v>0</v>
      </c>
      <c r="L481" s="1480">
        <v>0</v>
      </c>
      <c r="M481" s="1480">
        <v>1</v>
      </c>
      <c r="N481" s="1480">
        <v>300000</v>
      </c>
      <c r="O481" s="1480">
        <v>0</v>
      </c>
      <c r="P481" s="1480">
        <v>0</v>
      </c>
      <c r="Q481" s="1480">
        <v>0</v>
      </c>
      <c r="R481" s="1480">
        <v>0</v>
      </c>
      <c r="S481" s="1480">
        <v>0</v>
      </c>
      <c r="T481" s="1480">
        <v>0</v>
      </c>
      <c r="U481" s="1480">
        <v>0</v>
      </c>
      <c r="V481" s="1480">
        <v>0</v>
      </c>
      <c r="W481" s="1480"/>
      <c r="X481" s="173"/>
      <c r="Y481" s="1474" t="s">
        <v>1149</v>
      </c>
    </row>
    <row r="482" spans="2:25" x14ac:dyDescent="0.25">
      <c r="B482" s="1194"/>
      <c r="C482" s="673"/>
      <c r="D482" s="673"/>
      <c r="E482" s="673"/>
      <c r="F482" s="673"/>
      <c r="G482" s="173"/>
      <c r="H482" s="173"/>
      <c r="I482" s="1473"/>
      <c r="J482" s="173"/>
      <c r="K482" s="1480"/>
      <c r="L482" s="1480"/>
      <c r="M482" s="1480"/>
      <c r="N482" s="1480"/>
      <c r="O482" s="1480"/>
      <c r="P482" s="1480"/>
      <c r="Q482" s="1480"/>
      <c r="R482" s="1480"/>
      <c r="S482" s="1480"/>
      <c r="T482" s="1480"/>
      <c r="U482" s="1480"/>
      <c r="V482" s="1480"/>
      <c r="W482" s="1480"/>
      <c r="X482" s="173"/>
      <c r="Y482" s="1474"/>
    </row>
    <row r="483" spans="2:25" s="1629" customFormat="1" ht="63.75" x14ac:dyDescent="0.25">
      <c r="B483" s="2011" t="s">
        <v>3207</v>
      </c>
      <c r="C483" s="2013" t="s">
        <v>3909</v>
      </c>
      <c r="D483" s="2013" t="s">
        <v>3908</v>
      </c>
      <c r="E483" s="2013" t="s">
        <v>3910</v>
      </c>
      <c r="F483" s="1477" t="s">
        <v>3911</v>
      </c>
      <c r="G483" s="1627" t="s">
        <v>3912</v>
      </c>
      <c r="H483" s="1477"/>
      <c r="I483" s="1244" t="s">
        <v>19</v>
      </c>
      <c r="J483" s="1628">
        <v>20.02</v>
      </c>
      <c r="K483" s="1628">
        <v>19.259999999999998</v>
      </c>
      <c r="L483" s="1270"/>
      <c r="M483" s="1628">
        <v>18.499999999999996</v>
      </c>
      <c r="N483" s="1270"/>
      <c r="O483" s="1628">
        <v>17.739999999999995</v>
      </c>
      <c r="P483" s="1270"/>
      <c r="Q483" s="1628">
        <v>16.979999999999993</v>
      </c>
      <c r="R483" s="1270"/>
      <c r="S483" s="1628">
        <v>16.219999999999992</v>
      </c>
      <c r="T483" s="1270"/>
      <c r="U483" s="1628">
        <v>15.45</v>
      </c>
      <c r="V483" s="1270"/>
      <c r="W483" s="1628">
        <f>U483</f>
        <v>15.45</v>
      </c>
      <c r="X483" s="1628"/>
      <c r="Y483" s="1474" t="s">
        <v>1149</v>
      </c>
    </row>
    <row r="484" spans="2:25" ht="76.5" x14ac:dyDescent="0.25">
      <c r="B484" s="2012"/>
      <c r="C484" s="2014"/>
      <c r="D484" s="2014"/>
      <c r="E484" s="2014"/>
      <c r="F484" s="674"/>
      <c r="G484" s="173" t="s">
        <v>763</v>
      </c>
      <c r="H484" s="173" t="s">
        <v>762</v>
      </c>
      <c r="I484" s="1473" t="s">
        <v>275</v>
      </c>
      <c r="J484" s="173"/>
      <c r="K484" s="1480">
        <v>1</v>
      </c>
      <c r="L484" s="1480">
        <f>SUM(L485)</f>
        <v>207000</v>
      </c>
      <c r="M484" s="1480">
        <v>1</v>
      </c>
      <c r="N484" s="1480">
        <f>SUM(N485)</f>
        <v>233873</v>
      </c>
      <c r="O484" s="1480">
        <v>1</v>
      </c>
      <c r="P484" s="1480">
        <f>SUM(P485)</f>
        <v>250000</v>
      </c>
      <c r="Q484" s="1480">
        <v>1</v>
      </c>
      <c r="R484" s="1480">
        <f>SUM(R485)</f>
        <v>250000</v>
      </c>
      <c r="S484" s="1480">
        <v>1</v>
      </c>
      <c r="T484" s="1480">
        <f>SUM(T485)</f>
        <v>275000</v>
      </c>
      <c r="U484" s="1480">
        <v>1</v>
      </c>
      <c r="V484" s="1480">
        <f>SUM(V485)</f>
        <v>275000</v>
      </c>
      <c r="W484" s="1480"/>
      <c r="X484" s="173"/>
      <c r="Y484" s="1474" t="s">
        <v>1149</v>
      </c>
    </row>
    <row r="485" spans="2:25" ht="102" x14ac:dyDescent="0.25">
      <c r="B485" s="2015"/>
      <c r="C485" s="2108"/>
      <c r="D485" s="2108"/>
      <c r="E485" s="2108"/>
      <c r="F485" s="675"/>
      <c r="G485" s="173" t="s">
        <v>764</v>
      </c>
      <c r="H485" s="173" t="s">
        <v>765</v>
      </c>
      <c r="I485" s="1473" t="s">
        <v>40</v>
      </c>
      <c r="J485" s="173"/>
      <c r="K485" s="1480">
        <v>12</v>
      </c>
      <c r="L485" s="1480">
        <v>207000</v>
      </c>
      <c r="M485" s="1480">
        <v>12</v>
      </c>
      <c r="N485" s="1480">
        <v>233873</v>
      </c>
      <c r="O485" s="1480">
        <v>12</v>
      </c>
      <c r="P485" s="1480">
        <v>250000</v>
      </c>
      <c r="Q485" s="1480">
        <v>12</v>
      </c>
      <c r="R485" s="1480">
        <v>250000</v>
      </c>
      <c r="S485" s="1480">
        <v>12</v>
      </c>
      <c r="T485" s="1480">
        <v>275000</v>
      </c>
      <c r="U485" s="1480">
        <v>12</v>
      </c>
      <c r="V485" s="1480">
        <v>275000</v>
      </c>
      <c r="W485" s="1480"/>
      <c r="X485" s="173"/>
      <c r="Y485" s="1474" t="s">
        <v>1149</v>
      </c>
    </row>
    <row r="486" spans="2:25" x14ac:dyDescent="0.25">
      <c r="B486" s="1481"/>
      <c r="C486" s="232"/>
      <c r="D486" s="232"/>
      <c r="E486" s="232"/>
      <c r="F486" s="675"/>
      <c r="G486" s="173"/>
      <c r="H486" s="173"/>
      <c r="I486" s="1253"/>
      <c r="J486" s="173"/>
      <c r="K486" s="1480"/>
      <c r="L486" s="1480"/>
      <c r="M486" s="1480"/>
      <c r="N486" s="1480"/>
      <c r="O486" s="1480"/>
      <c r="P486" s="1480"/>
      <c r="Q486" s="1480"/>
      <c r="R486" s="1480"/>
      <c r="S486" s="1480"/>
      <c r="T486" s="1480"/>
      <c r="U486" s="1480"/>
      <c r="V486" s="1480"/>
      <c r="W486" s="1480"/>
      <c r="X486" s="173"/>
      <c r="Y486" s="1474" t="s">
        <v>1149</v>
      </c>
    </row>
    <row r="487" spans="2:25" ht="63.75" customHeight="1" x14ac:dyDescent="0.25">
      <c r="B487" s="2011" t="s">
        <v>33</v>
      </c>
      <c r="C487" s="173" t="s">
        <v>34</v>
      </c>
      <c r="D487" s="173" t="s">
        <v>3902</v>
      </c>
      <c r="E487" s="173" t="s">
        <v>3903</v>
      </c>
      <c r="F487" s="173" t="s">
        <v>3901</v>
      </c>
      <c r="G487" s="173" t="s">
        <v>3133</v>
      </c>
      <c r="H487" s="173" t="s">
        <v>766</v>
      </c>
      <c r="I487" s="1253" t="s">
        <v>19</v>
      </c>
      <c r="J487" s="173">
        <v>90</v>
      </c>
      <c r="K487" s="173">
        <v>91</v>
      </c>
      <c r="L487" s="1447"/>
      <c r="M487" s="173">
        <v>92</v>
      </c>
      <c r="N487" s="1447"/>
      <c r="O487" s="173">
        <v>93</v>
      </c>
      <c r="P487" s="1447"/>
      <c r="Q487" s="173">
        <v>94</v>
      </c>
      <c r="R487" s="1447"/>
      <c r="S487" s="173">
        <v>95</v>
      </c>
      <c r="T487" s="1447"/>
      <c r="U487" s="173">
        <v>96</v>
      </c>
      <c r="V487" s="1447"/>
      <c r="W487" s="173">
        <f>U487</f>
        <v>96</v>
      </c>
      <c r="X487" s="173"/>
      <c r="Y487" s="1474" t="s">
        <v>1149</v>
      </c>
    </row>
    <row r="488" spans="2:25" ht="51" x14ac:dyDescent="0.25">
      <c r="B488" s="2012"/>
      <c r="C488" s="674"/>
      <c r="D488" s="674"/>
      <c r="E488" s="674"/>
      <c r="F488" s="674"/>
      <c r="G488" s="675" t="s">
        <v>578</v>
      </c>
      <c r="H488" s="675" t="s">
        <v>767</v>
      </c>
      <c r="I488" s="1253" t="s">
        <v>19</v>
      </c>
      <c r="J488" s="675">
        <v>100</v>
      </c>
      <c r="K488" s="1630">
        <v>20</v>
      </c>
      <c r="L488" s="1630">
        <f>SUM(L489:L501)</f>
        <v>976250</v>
      </c>
      <c r="M488" s="1630">
        <v>20</v>
      </c>
      <c r="N488" s="1630">
        <f>SUM(N489:N501)</f>
        <v>1118500</v>
      </c>
      <c r="O488" s="1630">
        <v>15</v>
      </c>
      <c r="P488" s="1630">
        <f>SUM(P489:P501)</f>
        <v>1179000</v>
      </c>
      <c r="Q488" s="1630">
        <v>15</v>
      </c>
      <c r="R488" s="1630">
        <f>SUM(R489:R501)</f>
        <v>1179500</v>
      </c>
      <c r="S488" s="1630">
        <v>15</v>
      </c>
      <c r="T488" s="1630">
        <f>SUM(T489:T501)</f>
        <v>1231000</v>
      </c>
      <c r="U488" s="1630">
        <v>15</v>
      </c>
      <c r="V488" s="1630">
        <f>SUM(V489:V501)</f>
        <v>1231000</v>
      </c>
      <c r="W488" s="1630">
        <v>100</v>
      </c>
      <c r="X488" s="675"/>
      <c r="Y488" s="1474" t="s">
        <v>1149</v>
      </c>
    </row>
    <row r="489" spans="2:25" ht="38.25" x14ac:dyDescent="0.25">
      <c r="B489" s="2012"/>
      <c r="C489" s="674"/>
      <c r="D489" s="674"/>
      <c r="E489" s="232"/>
      <c r="F489" s="674"/>
      <c r="G489" s="173" t="s">
        <v>768</v>
      </c>
      <c r="H489" s="173" t="s">
        <v>769</v>
      </c>
      <c r="I489" s="1473" t="s">
        <v>40</v>
      </c>
      <c r="J489" s="173"/>
      <c r="K489" s="1480">
        <v>12</v>
      </c>
      <c r="L489" s="1480">
        <v>4000</v>
      </c>
      <c r="M489" s="1480">
        <v>12</v>
      </c>
      <c r="N489" s="1480">
        <v>4000</v>
      </c>
      <c r="O489" s="1480">
        <v>12</v>
      </c>
      <c r="P489" s="1480">
        <v>5000</v>
      </c>
      <c r="Q489" s="1480">
        <v>12</v>
      </c>
      <c r="R489" s="1480">
        <v>5000</v>
      </c>
      <c r="S489" s="1480">
        <v>12</v>
      </c>
      <c r="T489" s="1480">
        <v>6000</v>
      </c>
      <c r="U489" s="1480">
        <v>12</v>
      </c>
      <c r="V489" s="1480">
        <v>6000</v>
      </c>
      <c r="W489" s="1480"/>
      <c r="X489" s="173"/>
      <c r="Y489" s="1474" t="s">
        <v>1149</v>
      </c>
    </row>
    <row r="490" spans="2:25" ht="63.75" x14ac:dyDescent="0.25">
      <c r="B490" s="2012"/>
      <c r="C490" s="674"/>
      <c r="D490" s="674"/>
      <c r="E490" s="232"/>
      <c r="F490" s="674"/>
      <c r="G490" s="173" t="s">
        <v>126</v>
      </c>
      <c r="H490" s="173" t="s">
        <v>579</v>
      </c>
      <c r="I490" s="1473" t="s">
        <v>40</v>
      </c>
      <c r="J490" s="173"/>
      <c r="K490" s="1480">
        <v>12</v>
      </c>
      <c r="L490" s="1480">
        <v>90000</v>
      </c>
      <c r="M490" s="1480">
        <v>12</v>
      </c>
      <c r="N490" s="1480">
        <v>90000</v>
      </c>
      <c r="O490" s="1480">
        <v>12</v>
      </c>
      <c r="P490" s="1480">
        <v>100000</v>
      </c>
      <c r="Q490" s="1480">
        <v>12</v>
      </c>
      <c r="R490" s="1480">
        <v>100000</v>
      </c>
      <c r="S490" s="1480">
        <v>12</v>
      </c>
      <c r="T490" s="1480">
        <v>110000</v>
      </c>
      <c r="U490" s="1480">
        <v>12</v>
      </c>
      <c r="V490" s="1480">
        <v>110000</v>
      </c>
      <c r="W490" s="1480"/>
      <c r="X490" s="173"/>
      <c r="Y490" s="1474" t="s">
        <v>1149</v>
      </c>
    </row>
    <row r="491" spans="2:25" ht="76.5" x14ac:dyDescent="0.25">
      <c r="B491" s="2012"/>
      <c r="C491" s="674"/>
      <c r="D491" s="674"/>
      <c r="E491" s="232"/>
      <c r="F491" s="674"/>
      <c r="G491" s="173" t="s">
        <v>770</v>
      </c>
      <c r="H491" s="173" t="s">
        <v>771</v>
      </c>
      <c r="I491" s="1473" t="s">
        <v>40</v>
      </c>
      <c r="J491" s="173"/>
      <c r="K491" s="1480">
        <v>12</v>
      </c>
      <c r="L491" s="1480">
        <v>129750</v>
      </c>
      <c r="M491" s="1480">
        <v>12</v>
      </c>
      <c r="N491" s="1480">
        <v>130000</v>
      </c>
      <c r="O491" s="1480">
        <v>12</v>
      </c>
      <c r="P491" s="1480">
        <v>130000</v>
      </c>
      <c r="Q491" s="1480">
        <v>12</v>
      </c>
      <c r="R491" s="1480">
        <v>130000</v>
      </c>
      <c r="S491" s="1480">
        <v>12</v>
      </c>
      <c r="T491" s="1480">
        <v>135000</v>
      </c>
      <c r="U491" s="1480">
        <v>12</v>
      </c>
      <c r="V491" s="1480">
        <v>135000</v>
      </c>
      <c r="W491" s="1480"/>
      <c r="X491" s="173"/>
      <c r="Y491" s="1474" t="s">
        <v>1149</v>
      </c>
    </row>
    <row r="492" spans="2:25" ht="51" x14ac:dyDescent="0.25">
      <c r="B492" s="2012"/>
      <c r="C492" s="674"/>
      <c r="D492" s="674"/>
      <c r="E492" s="232"/>
      <c r="F492" s="674"/>
      <c r="G492" s="173" t="s">
        <v>772</v>
      </c>
      <c r="H492" s="173" t="s">
        <v>773</v>
      </c>
      <c r="I492" s="1473" t="s">
        <v>40</v>
      </c>
      <c r="J492" s="173"/>
      <c r="K492" s="1480">
        <v>12</v>
      </c>
      <c r="L492" s="1480">
        <v>132500</v>
      </c>
      <c r="M492" s="1480">
        <v>12</v>
      </c>
      <c r="N492" s="1480">
        <v>132500</v>
      </c>
      <c r="O492" s="1480">
        <v>12</v>
      </c>
      <c r="P492" s="1480">
        <v>132500</v>
      </c>
      <c r="Q492" s="1480">
        <v>12</v>
      </c>
      <c r="R492" s="1480">
        <v>132500</v>
      </c>
      <c r="S492" s="1480">
        <v>12</v>
      </c>
      <c r="T492" s="1480">
        <v>135000</v>
      </c>
      <c r="U492" s="1480">
        <v>12</v>
      </c>
      <c r="V492" s="1480">
        <v>135000</v>
      </c>
      <c r="W492" s="1480"/>
      <c r="X492" s="173"/>
      <c r="Y492" s="1474" t="s">
        <v>1149</v>
      </c>
    </row>
    <row r="493" spans="2:25" ht="38.25" x14ac:dyDescent="0.25">
      <c r="B493" s="2012"/>
      <c r="C493" s="674"/>
      <c r="D493" s="674"/>
      <c r="E493" s="232"/>
      <c r="F493" s="674"/>
      <c r="G493" s="173" t="s">
        <v>774</v>
      </c>
      <c r="H493" s="173" t="s">
        <v>775</v>
      </c>
      <c r="I493" s="1473" t="s">
        <v>40</v>
      </c>
      <c r="J493" s="173"/>
      <c r="K493" s="1480">
        <v>12</v>
      </c>
      <c r="L493" s="1480">
        <v>46500</v>
      </c>
      <c r="M493" s="1480">
        <v>12</v>
      </c>
      <c r="N493" s="1480">
        <v>46500</v>
      </c>
      <c r="O493" s="1480">
        <v>12</v>
      </c>
      <c r="P493" s="1480">
        <v>46500</v>
      </c>
      <c r="Q493" s="1480">
        <v>12</v>
      </c>
      <c r="R493" s="1480">
        <v>47000</v>
      </c>
      <c r="S493" s="1480">
        <v>12</v>
      </c>
      <c r="T493" s="1480">
        <v>50000</v>
      </c>
      <c r="U493" s="1480">
        <v>12</v>
      </c>
      <c r="V493" s="1480">
        <v>50000</v>
      </c>
      <c r="W493" s="1480"/>
      <c r="X493" s="173"/>
      <c r="Y493" s="1474" t="s">
        <v>1149</v>
      </c>
    </row>
    <row r="494" spans="2:25" ht="38.25" x14ac:dyDescent="0.25">
      <c r="B494" s="2012"/>
      <c r="C494" s="674"/>
      <c r="D494" s="674"/>
      <c r="E494" s="232"/>
      <c r="F494" s="674"/>
      <c r="G494" s="173" t="s">
        <v>776</v>
      </c>
      <c r="H494" s="173" t="s">
        <v>777</v>
      </c>
      <c r="I494" s="1473" t="s">
        <v>40</v>
      </c>
      <c r="J494" s="173"/>
      <c r="K494" s="1480">
        <v>12</v>
      </c>
      <c r="L494" s="1480">
        <v>40000</v>
      </c>
      <c r="M494" s="1480">
        <v>12</v>
      </c>
      <c r="N494" s="1480">
        <v>40000</v>
      </c>
      <c r="O494" s="1480">
        <v>12</v>
      </c>
      <c r="P494" s="1480">
        <v>40000</v>
      </c>
      <c r="Q494" s="1480">
        <v>12</v>
      </c>
      <c r="R494" s="1480">
        <v>40000</v>
      </c>
      <c r="S494" s="1480">
        <v>12</v>
      </c>
      <c r="T494" s="1480">
        <v>40000</v>
      </c>
      <c r="U494" s="1480">
        <v>12</v>
      </c>
      <c r="V494" s="1480">
        <v>40000</v>
      </c>
      <c r="W494" s="1480"/>
      <c r="X494" s="173"/>
      <c r="Y494" s="1474" t="s">
        <v>1149</v>
      </c>
    </row>
    <row r="495" spans="2:25" ht="38.25" x14ac:dyDescent="0.25">
      <c r="B495" s="2012"/>
      <c r="C495" s="674"/>
      <c r="D495" s="674"/>
      <c r="E495" s="232"/>
      <c r="F495" s="674"/>
      <c r="G495" s="173" t="s">
        <v>778</v>
      </c>
      <c r="H495" s="173" t="s">
        <v>779</v>
      </c>
      <c r="I495" s="1473" t="s">
        <v>40</v>
      </c>
      <c r="J495" s="173"/>
      <c r="K495" s="1480">
        <v>12</v>
      </c>
      <c r="L495" s="1480">
        <v>46500</v>
      </c>
      <c r="M495" s="1480">
        <v>12</v>
      </c>
      <c r="N495" s="1480">
        <v>46500</v>
      </c>
      <c r="O495" s="1480">
        <v>12</v>
      </c>
      <c r="P495" s="1480">
        <v>47000</v>
      </c>
      <c r="Q495" s="1480">
        <v>12</v>
      </c>
      <c r="R495" s="1480">
        <v>47000</v>
      </c>
      <c r="S495" s="1480">
        <v>12</v>
      </c>
      <c r="T495" s="1480">
        <v>47000</v>
      </c>
      <c r="U495" s="1480">
        <v>12</v>
      </c>
      <c r="V495" s="1480">
        <v>47000</v>
      </c>
      <c r="W495" s="1480"/>
      <c r="X495" s="173"/>
      <c r="Y495" s="1474" t="s">
        <v>1149</v>
      </c>
    </row>
    <row r="496" spans="2:25" ht="51" x14ac:dyDescent="0.25">
      <c r="B496" s="2012"/>
      <c r="C496" s="674"/>
      <c r="D496" s="674"/>
      <c r="E496" s="232"/>
      <c r="F496" s="674"/>
      <c r="G496" s="173" t="s">
        <v>780</v>
      </c>
      <c r="H496" s="173" t="s">
        <v>781</v>
      </c>
      <c r="I496" s="1473" t="s">
        <v>40</v>
      </c>
      <c r="J496" s="173"/>
      <c r="K496" s="1480">
        <v>12</v>
      </c>
      <c r="L496" s="1480">
        <v>69500</v>
      </c>
      <c r="M496" s="1480">
        <v>12</v>
      </c>
      <c r="N496" s="1480">
        <v>69500</v>
      </c>
      <c r="O496" s="1480">
        <v>12</v>
      </c>
      <c r="P496" s="1480">
        <v>70000</v>
      </c>
      <c r="Q496" s="1480">
        <v>12</v>
      </c>
      <c r="R496" s="1480">
        <v>70000</v>
      </c>
      <c r="S496" s="1480">
        <v>12</v>
      </c>
      <c r="T496" s="1480">
        <v>70000</v>
      </c>
      <c r="U496" s="1480">
        <v>12</v>
      </c>
      <c r="V496" s="1480">
        <v>70000</v>
      </c>
      <c r="W496" s="1480"/>
      <c r="X496" s="173"/>
      <c r="Y496" s="1474" t="s">
        <v>1149</v>
      </c>
    </row>
    <row r="497" spans="2:25" ht="76.5" x14ac:dyDescent="0.25">
      <c r="B497" s="2012"/>
      <c r="C497" s="674"/>
      <c r="D497" s="674"/>
      <c r="E497" s="232"/>
      <c r="F497" s="674"/>
      <c r="G497" s="173" t="s">
        <v>782</v>
      </c>
      <c r="H497" s="173" t="s">
        <v>783</v>
      </c>
      <c r="I497" s="1473" t="s">
        <v>40</v>
      </c>
      <c r="J497" s="173"/>
      <c r="K497" s="1480">
        <v>12</v>
      </c>
      <c r="L497" s="1480">
        <v>10500</v>
      </c>
      <c r="M497" s="1480">
        <v>12</v>
      </c>
      <c r="N497" s="1480">
        <v>10500</v>
      </c>
      <c r="O497" s="1480">
        <v>12</v>
      </c>
      <c r="P497" s="1480">
        <v>11000</v>
      </c>
      <c r="Q497" s="1480">
        <v>12</v>
      </c>
      <c r="R497" s="1480">
        <v>11000</v>
      </c>
      <c r="S497" s="1480">
        <v>12</v>
      </c>
      <c r="T497" s="1480">
        <v>11000</v>
      </c>
      <c r="U497" s="1480">
        <v>12</v>
      </c>
      <c r="V497" s="1480">
        <v>11000</v>
      </c>
      <c r="W497" s="1480"/>
      <c r="X497" s="173"/>
      <c r="Y497" s="1474" t="s">
        <v>1149</v>
      </c>
    </row>
    <row r="498" spans="2:25" ht="51" x14ac:dyDescent="0.25">
      <c r="B498" s="2012"/>
      <c r="C498" s="674"/>
      <c r="D498" s="674"/>
      <c r="E498" s="232"/>
      <c r="F498" s="674"/>
      <c r="G498" s="173" t="s">
        <v>784</v>
      </c>
      <c r="H498" s="173" t="s">
        <v>581</v>
      </c>
      <c r="I498" s="1473" t="s">
        <v>40</v>
      </c>
      <c r="J498" s="173"/>
      <c r="K498" s="1480">
        <v>12</v>
      </c>
      <c r="L498" s="1480">
        <v>7000</v>
      </c>
      <c r="M498" s="1480">
        <v>12</v>
      </c>
      <c r="N498" s="1480">
        <v>7000</v>
      </c>
      <c r="O498" s="1480">
        <v>12</v>
      </c>
      <c r="P498" s="1480">
        <v>7000</v>
      </c>
      <c r="Q498" s="1480">
        <v>12</v>
      </c>
      <c r="R498" s="1480">
        <v>7000</v>
      </c>
      <c r="S498" s="1480">
        <v>12</v>
      </c>
      <c r="T498" s="1480">
        <v>7000</v>
      </c>
      <c r="U498" s="1480">
        <v>12</v>
      </c>
      <c r="V498" s="1480">
        <v>7000</v>
      </c>
      <c r="W498" s="1480"/>
      <c r="X498" s="173"/>
      <c r="Y498" s="1474" t="s">
        <v>1149</v>
      </c>
    </row>
    <row r="499" spans="2:25" ht="38.25" x14ac:dyDescent="0.25">
      <c r="B499" s="2012"/>
      <c r="C499" s="674"/>
      <c r="D499" s="674"/>
      <c r="E499" s="232"/>
      <c r="F499" s="674"/>
      <c r="G499" s="173" t="s">
        <v>785</v>
      </c>
      <c r="H499" s="173" t="s">
        <v>582</v>
      </c>
      <c r="I499" s="1473" t="s">
        <v>40</v>
      </c>
      <c r="J499" s="173"/>
      <c r="K499" s="1480">
        <v>12</v>
      </c>
      <c r="L499" s="1480">
        <v>80000</v>
      </c>
      <c r="M499" s="1480">
        <v>12</v>
      </c>
      <c r="N499" s="1480">
        <v>80000</v>
      </c>
      <c r="O499" s="1480">
        <v>12</v>
      </c>
      <c r="P499" s="1480">
        <v>90000</v>
      </c>
      <c r="Q499" s="1480">
        <v>12</v>
      </c>
      <c r="R499" s="1480">
        <v>90000</v>
      </c>
      <c r="S499" s="1480">
        <v>12</v>
      </c>
      <c r="T499" s="1480">
        <v>90000</v>
      </c>
      <c r="U499" s="1480">
        <v>12</v>
      </c>
      <c r="V499" s="1480">
        <v>90000</v>
      </c>
      <c r="W499" s="1480"/>
      <c r="X499" s="173"/>
      <c r="Y499" s="1474" t="s">
        <v>1149</v>
      </c>
    </row>
    <row r="500" spans="2:25" ht="76.5" x14ac:dyDescent="0.25">
      <c r="B500" s="2012"/>
      <c r="C500" s="674"/>
      <c r="D500" s="674"/>
      <c r="E500" s="232"/>
      <c r="F500" s="674"/>
      <c r="G500" s="173" t="s">
        <v>786</v>
      </c>
      <c r="H500" s="173" t="s">
        <v>787</v>
      </c>
      <c r="I500" s="1473" t="s">
        <v>40</v>
      </c>
      <c r="J500" s="173"/>
      <c r="K500" s="1480">
        <v>12</v>
      </c>
      <c r="L500" s="1480">
        <v>290000</v>
      </c>
      <c r="M500" s="1480">
        <v>12</v>
      </c>
      <c r="N500" s="1480">
        <v>382000</v>
      </c>
      <c r="O500" s="1480">
        <v>12</v>
      </c>
      <c r="P500" s="1480">
        <v>400000</v>
      </c>
      <c r="Q500" s="1480">
        <v>12</v>
      </c>
      <c r="R500" s="1480">
        <v>400000</v>
      </c>
      <c r="S500" s="1480">
        <v>12</v>
      </c>
      <c r="T500" s="1480">
        <v>410000</v>
      </c>
      <c r="U500" s="1480">
        <v>12</v>
      </c>
      <c r="V500" s="1480">
        <v>410000</v>
      </c>
      <c r="W500" s="1480"/>
      <c r="X500" s="173"/>
      <c r="Y500" s="1474" t="s">
        <v>1149</v>
      </c>
    </row>
    <row r="501" spans="2:25" ht="63.75" x14ac:dyDescent="0.25">
      <c r="B501" s="2012"/>
      <c r="C501" s="674"/>
      <c r="D501" s="674"/>
      <c r="E501" s="232"/>
      <c r="F501" s="674"/>
      <c r="G501" s="173" t="s">
        <v>788</v>
      </c>
      <c r="H501" s="173" t="s">
        <v>583</v>
      </c>
      <c r="I501" s="1473" t="s">
        <v>40</v>
      </c>
      <c r="J501" s="173"/>
      <c r="K501" s="1480">
        <v>12</v>
      </c>
      <c r="L501" s="1480">
        <v>30000</v>
      </c>
      <c r="M501" s="1480">
        <v>12</v>
      </c>
      <c r="N501" s="1480">
        <v>80000</v>
      </c>
      <c r="O501" s="1480">
        <v>12</v>
      </c>
      <c r="P501" s="1480">
        <v>100000</v>
      </c>
      <c r="Q501" s="1480">
        <v>12</v>
      </c>
      <c r="R501" s="1480">
        <v>100000</v>
      </c>
      <c r="S501" s="1480">
        <v>12</v>
      </c>
      <c r="T501" s="1480">
        <v>120000</v>
      </c>
      <c r="U501" s="1480">
        <v>12</v>
      </c>
      <c r="V501" s="1480">
        <v>120000</v>
      </c>
      <c r="W501" s="1480"/>
      <c r="X501" s="173"/>
      <c r="Y501" s="1474" t="s">
        <v>1149</v>
      </c>
    </row>
    <row r="502" spans="2:25" ht="51" x14ac:dyDescent="0.25">
      <c r="B502" s="2012"/>
      <c r="C502" s="674"/>
      <c r="D502" s="674"/>
      <c r="E502" s="232"/>
      <c r="F502" s="674"/>
      <c r="G502" s="173" t="s">
        <v>65</v>
      </c>
      <c r="H502" s="173" t="s">
        <v>789</v>
      </c>
      <c r="I502" s="1473" t="s">
        <v>19</v>
      </c>
      <c r="J502" s="1473">
        <v>100</v>
      </c>
      <c r="K502" s="1480">
        <v>20</v>
      </c>
      <c r="L502" s="1480">
        <f>SUM(L503:L508)</f>
        <v>195000</v>
      </c>
      <c r="M502" s="1480">
        <v>20</v>
      </c>
      <c r="N502" s="1480">
        <f>SUM(N503:N508)</f>
        <v>573000</v>
      </c>
      <c r="O502" s="1480">
        <v>15</v>
      </c>
      <c r="P502" s="1480">
        <f>SUM(P503:P508)</f>
        <v>195000</v>
      </c>
      <c r="Q502" s="1480">
        <v>15</v>
      </c>
      <c r="R502" s="1480">
        <f>SUM(R503:R508)</f>
        <v>200000</v>
      </c>
      <c r="S502" s="1480">
        <v>15</v>
      </c>
      <c r="T502" s="1480">
        <f>SUM(T503:T508)</f>
        <v>600000</v>
      </c>
      <c r="U502" s="1480">
        <v>15</v>
      </c>
      <c r="V502" s="1480">
        <f>SUM(V503:V508)</f>
        <v>190000</v>
      </c>
      <c r="W502" s="1480">
        <v>100</v>
      </c>
      <c r="X502" s="173"/>
      <c r="Y502" s="1474" t="s">
        <v>1149</v>
      </c>
    </row>
    <row r="503" spans="2:25" ht="51" x14ac:dyDescent="0.25">
      <c r="B503" s="2012"/>
      <c r="C503" s="674"/>
      <c r="D503" s="674"/>
      <c r="E503" s="232"/>
      <c r="F503" s="674"/>
      <c r="G503" s="2013" t="s">
        <v>790</v>
      </c>
      <c r="H503" s="673" t="s">
        <v>791</v>
      </c>
      <c r="I503" s="933" t="s">
        <v>75</v>
      </c>
      <c r="J503" s="173"/>
      <c r="K503" s="1480">
        <v>0</v>
      </c>
      <c r="L503" s="1480">
        <v>0</v>
      </c>
      <c r="M503" s="1480">
        <v>0</v>
      </c>
      <c r="N503" s="1480">
        <v>0</v>
      </c>
      <c r="O503" s="1480">
        <v>0</v>
      </c>
      <c r="P503" s="1480">
        <v>0</v>
      </c>
      <c r="Q503" s="1480">
        <v>0</v>
      </c>
      <c r="R503" s="1480">
        <v>0</v>
      </c>
      <c r="S503" s="1480">
        <v>1</v>
      </c>
      <c r="T503" s="1480">
        <v>275000</v>
      </c>
      <c r="U503" s="1480">
        <v>0</v>
      </c>
      <c r="V503" s="1480">
        <v>0</v>
      </c>
      <c r="W503" s="1480"/>
      <c r="X503" s="173"/>
      <c r="Y503" s="1474" t="s">
        <v>1149</v>
      </c>
    </row>
    <row r="504" spans="2:25" ht="38.25" x14ac:dyDescent="0.25">
      <c r="B504" s="2012"/>
      <c r="C504" s="674"/>
      <c r="D504" s="674"/>
      <c r="E504" s="232"/>
      <c r="F504" s="674"/>
      <c r="G504" s="2044"/>
      <c r="H504" s="675" t="s">
        <v>526</v>
      </c>
      <c r="I504" s="933" t="s">
        <v>75</v>
      </c>
      <c r="J504" s="173"/>
      <c r="K504" s="1480">
        <v>0</v>
      </c>
      <c r="L504" s="1480">
        <v>0</v>
      </c>
      <c r="M504" s="1480">
        <v>4</v>
      </c>
      <c r="N504" s="1480">
        <v>170000</v>
      </c>
      <c r="O504" s="1480"/>
      <c r="P504" s="1480">
        <v>0</v>
      </c>
      <c r="Q504" s="1480"/>
      <c r="R504" s="1480">
        <v>0</v>
      </c>
      <c r="S504" s="1480">
        <v>5</v>
      </c>
      <c r="T504" s="1480">
        <v>100000</v>
      </c>
      <c r="U504" s="1480">
        <v>0</v>
      </c>
      <c r="V504" s="1480">
        <v>0</v>
      </c>
      <c r="W504" s="1480"/>
      <c r="X504" s="173"/>
      <c r="Y504" s="1474" t="s">
        <v>1149</v>
      </c>
    </row>
    <row r="505" spans="2:25" ht="38.25" x14ac:dyDescent="0.25">
      <c r="B505" s="2012"/>
      <c r="C505" s="674"/>
      <c r="D505" s="674"/>
      <c r="E505" s="232"/>
      <c r="F505" s="674"/>
      <c r="G505" s="173" t="s">
        <v>792</v>
      </c>
      <c r="H505" s="173" t="s">
        <v>584</v>
      </c>
      <c r="I505" s="1473" t="s">
        <v>69</v>
      </c>
      <c r="J505" s="173"/>
      <c r="K505" s="1480">
        <v>0</v>
      </c>
      <c r="L505" s="1480">
        <v>0</v>
      </c>
      <c r="M505" s="1480">
        <v>0</v>
      </c>
      <c r="N505" s="1480">
        <v>0</v>
      </c>
      <c r="O505" s="1480">
        <v>1</v>
      </c>
      <c r="P505" s="1480">
        <v>0</v>
      </c>
      <c r="Q505" s="1480">
        <v>0</v>
      </c>
      <c r="R505" s="1480">
        <v>0</v>
      </c>
      <c r="S505" s="1480">
        <v>0</v>
      </c>
      <c r="T505" s="1480">
        <v>0</v>
      </c>
      <c r="U505" s="1480">
        <v>0</v>
      </c>
      <c r="V505" s="1480">
        <v>0</v>
      </c>
      <c r="W505" s="1480"/>
      <c r="X505" s="173"/>
      <c r="Y505" s="1474" t="s">
        <v>1149</v>
      </c>
    </row>
    <row r="506" spans="2:25" ht="38.25" x14ac:dyDescent="0.25">
      <c r="B506" s="2012"/>
      <c r="C506" s="674"/>
      <c r="D506" s="674"/>
      <c r="E506" s="232"/>
      <c r="F506" s="674"/>
      <c r="G506" s="173" t="s">
        <v>793</v>
      </c>
      <c r="H506" s="173" t="s">
        <v>794</v>
      </c>
      <c r="I506" s="1473" t="s">
        <v>69</v>
      </c>
      <c r="J506" s="173"/>
      <c r="K506" s="1480">
        <v>1</v>
      </c>
      <c r="L506" s="1480">
        <v>80000</v>
      </c>
      <c r="M506" s="1480">
        <v>1</v>
      </c>
      <c r="N506" s="1480">
        <v>218000</v>
      </c>
      <c r="O506" s="1480">
        <v>1</v>
      </c>
      <c r="P506" s="1480">
        <v>80000</v>
      </c>
      <c r="Q506" s="1480">
        <v>1</v>
      </c>
      <c r="R506" s="1480">
        <v>85000</v>
      </c>
      <c r="S506" s="1480">
        <v>1</v>
      </c>
      <c r="T506" s="1480">
        <v>100000</v>
      </c>
      <c r="U506" s="1480">
        <v>1</v>
      </c>
      <c r="V506" s="1480">
        <v>75000</v>
      </c>
      <c r="W506" s="1480"/>
      <c r="X506" s="173"/>
      <c r="Y506" s="1474" t="s">
        <v>1149</v>
      </c>
    </row>
    <row r="507" spans="2:25" ht="38.25" x14ac:dyDescent="0.25">
      <c r="B507" s="2012"/>
      <c r="C507" s="674"/>
      <c r="D507" s="674"/>
      <c r="E507" s="232"/>
      <c r="F507" s="674"/>
      <c r="G507" s="173" t="s">
        <v>164</v>
      </c>
      <c r="H507" s="173" t="s">
        <v>795</v>
      </c>
      <c r="I507" s="1473" t="s">
        <v>75</v>
      </c>
      <c r="J507" s="173"/>
      <c r="K507" s="1480">
        <v>1</v>
      </c>
      <c r="L507" s="1480">
        <v>65000</v>
      </c>
      <c r="M507" s="1480">
        <v>1</v>
      </c>
      <c r="N507" s="1480">
        <v>65000</v>
      </c>
      <c r="O507" s="1480">
        <v>1</v>
      </c>
      <c r="P507" s="1480">
        <v>65000</v>
      </c>
      <c r="Q507" s="1480">
        <v>1</v>
      </c>
      <c r="R507" s="1480">
        <v>65000</v>
      </c>
      <c r="S507" s="1480">
        <v>1</v>
      </c>
      <c r="T507" s="1480">
        <v>75000</v>
      </c>
      <c r="U507" s="1480">
        <v>1</v>
      </c>
      <c r="V507" s="1480">
        <v>65000</v>
      </c>
      <c r="W507" s="1480"/>
      <c r="X507" s="173"/>
      <c r="Y507" s="1474" t="s">
        <v>1149</v>
      </c>
    </row>
    <row r="508" spans="2:25" ht="25.5" x14ac:dyDescent="0.25">
      <c r="B508" s="2012"/>
      <c r="C508" s="674"/>
      <c r="D508" s="674"/>
      <c r="E508" s="232"/>
      <c r="F508" s="674"/>
      <c r="G508" s="173" t="s">
        <v>796</v>
      </c>
      <c r="H508" s="173" t="s">
        <v>797</v>
      </c>
      <c r="I508" s="1473" t="s">
        <v>75</v>
      </c>
      <c r="J508" s="173"/>
      <c r="K508" s="1480">
        <v>1</v>
      </c>
      <c r="L508" s="1480">
        <v>50000</v>
      </c>
      <c r="M508" s="1480">
        <v>1</v>
      </c>
      <c r="N508" s="1480">
        <v>120000</v>
      </c>
      <c r="O508" s="1480">
        <v>1</v>
      </c>
      <c r="P508" s="1480">
        <v>50000</v>
      </c>
      <c r="Q508" s="1480">
        <v>1</v>
      </c>
      <c r="R508" s="1480">
        <v>50000</v>
      </c>
      <c r="S508" s="1480">
        <v>1</v>
      </c>
      <c r="T508" s="1480">
        <v>50000</v>
      </c>
      <c r="U508" s="1480">
        <v>1</v>
      </c>
      <c r="V508" s="1480">
        <v>50000</v>
      </c>
      <c r="W508" s="1480"/>
      <c r="X508" s="173"/>
      <c r="Y508" s="1474" t="s">
        <v>1149</v>
      </c>
    </row>
    <row r="509" spans="2:25" ht="63.75" x14ac:dyDescent="0.25">
      <c r="B509" s="2012"/>
      <c r="C509" s="674"/>
      <c r="D509" s="674"/>
      <c r="E509" s="232"/>
      <c r="F509" s="674"/>
      <c r="G509" s="173" t="s">
        <v>798</v>
      </c>
      <c r="H509" s="173" t="s">
        <v>3140</v>
      </c>
      <c r="I509" s="1473" t="s">
        <v>257</v>
      </c>
      <c r="J509" s="173">
        <v>25</v>
      </c>
      <c r="K509" s="1480">
        <v>5</v>
      </c>
      <c r="L509" s="1480">
        <f>SUM(L510:L511)</f>
        <v>165000</v>
      </c>
      <c r="M509" s="1480">
        <v>5</v>
      </c>
      <c r="N509" s="1480">
        <f>SUM(N510:N511)</f>
        <v>165000</v>
      </c>
      <c r="O509" s="1480">
        <v>4</v>
      </c>
      <c r="P509" s="1480">
        <f>SUM(P510:P511)</f>
        <v>175000</v>
      </c>
      <c r="Q509" s="1480">
        <v>4</v>
      </c>
      <c r="R509" s="1480">
        <f>SUM(R510:R511)</f>
        <v>185000</v>
      </c>
      <c r="S509" s="1480">
        <v>4</v>
      </c>
      <c r="T509" s="1480">
        <f>SUM(T510:T511)</f>
        <v>190000</v>
      </c>
      <c r="U509" s="1480">
        <v>4</v>
      </c>
      <c r="V509" s="1480">
        <f>SUM(V510:V511)</f>
        <v>220000</v>
      </c>
      <c r="W509" s="1480">
        <v>26</v>
      </c>
      <c r="X509" s="173"/>
      <c r="Y509" s="1474" t="s">
        <v>1149</v>
      </c>
    </row>
    <row r="510" spans="2:25" ht="76.5" x14ac:dyDescent="0.25">
      <c r="B510" s="2012"/>
      <c r="C510" s="674"/>
      <c r="D510" s="674"/>
      <c r="E510" s="232"/>
      <c r="F510" s="674"/>
      <c r="G510" s="173" t="s">
        <v>799</v>
      </c>
      <c r="H510" s="173" t="s">
        <v>800</v>
      </c>
      <c r="I510" s="1473" t="s">
        <v>257</v>
      </c>
      <c r="J510" s="173"/>
      <c r="K510" s="1480">
        <v>4</v>
      </c>
      <c r="L510" s="1480">
        <v>75000</v>
      </c>
      <c r="M510" s="1480">
        <v>4</v>
      </c>
      <c r="N510" s="1480">
        <v>65000</v>
      </c>
      <c r="O510" s="1480">
        <v>3</v>
      </c>
      <c r="P510" s="1480">
        <v>75000</v>
      </c>
      <c r="Q510" s="1480">
        <v>3</v>
      </c>
      <c r="R510" s="1480">
        <v>75000</v>
      </c>
      <c r="S510" s="1480">
        <v>3</v>
      </c>
      <c r="T510" s="1480">
        <v>80000</v>
      </c>
      <c r="U510" s="1480">
        <v>3</v>
      </c>
      <c r="V510" s="1480">
        <v>100000</v>
      </c>
      <c r="W510" s="1480"/>
      <c r="X510" s="173"/>
      <c r="Y510" s="1474" t="s">
        <v>1149</v>
      </c>
    </row>
    <row r="511" spans="2:25" ht="38.25" x14ac:dyDescent="0.25">
      <c r="B511" s="2012"/>
      <c r="C511" s="674"/>
      <c r="D511" s="674"/>
      <c r="E511" s="232"/>
      <c r="F511" s="674"/>
      <c r="G511" s="173" t="s">
        <v>801</v>
      </c>
      <c r="H511" s="173" t="s">
        <v>802</v>
      </c>
      <c r="I511" s="1473" t="s">
        <v>257</v>
      </c>
      <c r="J511" s="173"/>
      <c r="K511" s="1480">
        <v>1</v>
      </c>
      <c r="L511" s="1480">
        <v>90000</v>
      </c>
      <c r="M511" s="1480">
        <v>1</v>
      </c>
      <c r="N511" s="1480">
        <v>100000</v>
      </c>
      <c r="O511" s="1480">
        <v>1</v>
      </c>
      <c r="P511" s="1480">
        <v>100000</v>
      </c>
      <c r="Q511" s="1480">
        <v>1</v>
      </c>
      <c r="R511" s="1480">
        <v>110000</v>
      </c>
      <c r="S511" s="1480">
        <v>1</v>
      </c>
      <c r="T511" s="1480">
        <v>110000</v>
      </c>
      <c r="U511" s="1480">
        <v>1</v>
      </c>
      <c r="V511" s="1480">
        <v>120000</v>
      </c>
      <c r="W511" s="1480"/>
      <c r="X511" s="173"/>
      <c r="Y511" s="1474" t="s">
        <v>1149</v>
      </c>
    </row>
    <row r="512" spans="2:25" ht="38.25" x14ac:dyDescent="0.25">
      <c r="B512" s="2012"/>
      <c r="C512" s="674"/>
      <c r="D512" s="674"/>
      <c r="E512" s="232"/>
      <c r="F512" s="674"/>
      <c r="G512" s="173" t="s">
        <v>803</v>
      </c>
      <c r="H512" s="173" t="s">
        <v>3141</v>
      </c>
      <c r="I512" s="1473" t="s">
        <v>257</v>
      </c>
      <c r="J512" s="173">
        <v>0</v>
      </c>
      <c r="K512" s="173">
        <v>2</v>
      </c>
      <c r="L512" s="1447">
        <f>SUM(L513:L514)</f>
        <v>150000</v>
      </c>
      <c r="M512" s="173">
        <v>2</v>
      </c>
      <c r="N512" s="1447">
        <f>SUM(N513:N514)</f>
        <v>150000</v>
      </c>
      <c r="O512" s="173">
        <v>2</v>
      </c>
      <c r="P512" s="1447">
        <f>SUM(P513:P514)</f>
        <v>150000</v>
      </c>
      <c r="Q512" s="173">
        <v>2</v>
      </c>
      <c r="R512" s="1447">
        <f>SUM(R513:R514)</f>
        <v>150000</v>
      </c>
      <c r="S512" s="173">
        <v>2</v>
      </c>
      <c r="T512" s="1447">
        <f>SUM(T513:T514)</f>
        <v>150000</v>
      </c>
      <c r="U512" s="173">
        <v>2</v>
      </c>
      <c r="V512" s="1447">
        <f>SUM(V513:V514)</f>
        <v>150000</v>
      </c>
      <c r="W512" s="1480">
        <v>12</v>
      </c>
      <c r="X512" s="173"/>
      <c r="Y512" s="1474" t="s">
        <v>1149</v>
      </c>
    </row>
    <row r="513" spans="2:25" ht="38.25" x14ac:dyDescent="0.25">
      <c r="B513" s="2012"/>
      <c r="C513" s="674"/>
      <c r="D513" s="674"/>
      <c r="E513" s="232"/>
      <c r="F513" s="674"/>
      <c r="G513" s="173" t="s">
        <v>804</v>
      </c>
      <c r="H513" s="173" t="s">
        <v>805</v>
      </c>
      <c r="I513" s="1473" t="s">
        <v>79</v>
      </c>
      <c r="J513" s="173"/>
      <c r="K513" s="1480">
        <v>1</v>
      </c>
      <c r="L513" s="1480">
        <v>100000</v>
      </c>
      <c r="M513" s="1480">
        <v>1</v>
      </c>
      <c r="N513" s="1480">
        <v>100000</v>
      </c>
      <c r="O513" s="1480">
        <v>1</v>
      </c>
      <c r="P513" s="1480">
        <v>100000</v>
      </c>
      <c r="Q513" s="1480">
        <v>1</v>
      </c>
      <c r="R513" s="1480">
        <v>100000</v>
      </c>
      <c r="S513" s="1480">
        <v>1</v>
      </c>
      <c r="T513" s="1480">
        <v>100000</v>
      </c>
      <c r="U513" s="1480">
        <v>1</v>
      </c>
      <c r="V513" s="1480">
        <v>100000</v>
      </c>
      <c r="W513" s="1480"/>
      <c r="X513" s="173"/>
      <c r="Y513" s="1474" t="s">
        <v>1149</v>
      </c>
    </row>
    <row r="514" spans="2:25" ht="63.75" x14ac:dyDescent="0.25">
      <c r="B514" s="2012"/>
      <c r="C514" s="674"/>
      <c r="D514" s="674"/>
      <c r="E514" s="232"/>
      <c r="F514" s="674"/>
      <c r="G514" s="173" t="s">
        <v>806</v>
      </c>
      <c r="H514" s="173" t="s">
        <v>807</v>
      </c>
      <c r="I514" s="1473" t="s">
        <v>79</v>
      </c>
      <c r="J514" s="173"/>
      <c r="K514" s="1480">
        <v>1</v>
      </c>
      <c r="L514" s="1480">
        <v>50000</v>
      </c>
      <c r="M514" s="1480">
        <v>1</v>
      </c>
      <c r="N514" s="1480">
        <v>50000</v>
      </c>
      <c r="O514" s="1480">
        <v>1</v>
      </c>
      <c r="P514" s="1480">
        <v>50000</v>
      </c>
      <c r="Q514" s="1480">
        <v>1</v>
      </c>
      <c r="R514" s="1480">
        <v>50000</v>
      </c>
      <c r="S514" s="1480">
        <v>1</v>
      </c>
      <c r="T514" s="1480">
        <v>50000</v>
      </c>
      <c r="U514" s="1480">
        <v>1</v>
      </c>
      <c r="V514" s="1480">
        <v>50000</v>
      </c>
      <c r="W514" s="1480"/>
      <c r="X514" s="173"/>
      <c r="Y514" s="1474" t="s">
        <v>1149</v>
      </c>
    </row>
    <row r="515" spans="2:25" ht="76.5" x14ac:dyDescent="0.25">
      <c r="B515" s="2012"/>
      <c r="C515" s="674"/>
      <c r="D515" s="173" t="s">
        <v>3906</v>
      </c>
      <c r="E515" s="173" t="s">
        <v>3905</v>
      </c>
      <c r="F515" s="173" t="s">
        <v>3907</v>
      </c>
      <c r="G515" s="1473" t="s">
        <v>3904</v>
      </c>
      <c r="H515" s="173"/>
      <c r="I515" s="1473" t="s">
        <v>19</v>
      </c>
      <c r="J515" s="173">
        <v>90</v>
      </c>
      <c r="K515" s="1480">
        <v>90</v>
      </c>
      <c r="L515" s="1480"/>
      <c r="M515" s="1480">
        <v>90</v>
      </c>
      <c r="N515" s="1480"/>
      <c r="O515" s="1480">
        <v>90</v>
      </c>
      <c r="P515" s="1480"/>
      <c r="Q515" s="1480">
        <v>90</v>
      </c>
      <c r="R515" s="1480"/>
      <c r="S515" s="1480">
        <v>90</v>
      </c>
      <c r="T515" s="1480"/>
      <c r="U515" s="1480">
        <v>90</v>
      </c>
      <c r="V515" s="1480"/>
      <c r="W515" s="1480">
        <v>90</v>
      </c>
      <c r="X515" s="173"/>
      <c r="Y515" s="1474"/>
    </row>
    <row r="516" spans="2:25" ht="89.25" x14ac:dyDescent="0.25">
      <c r="B516" s="2012"/>
      <c r="C516" s="674"/>
      <c r="D516" s="674"/>
      <c r="E516" s="232"/>
      <c r="F516" s="674"/>
      <c r="G516" s="173" t="s">
        <v>809</v>
      </c>
      <c r="H516" s="173" t="s">
        <v>808</v>
      </c>
      <c r="I516" s="1473" t="s">
        <v>79</v>
      </c>
      <c r="J516" s="1480">
        <v>17</v>
      </c>
      <c r="K516" s="1480">
        <v>3</v>
      </c>
      <c r="L516" s="1480">
        <f>SUM(L517:L527)</f>
        <v>1505000</v>
      </c>
      <c r="M516" s="1480">
        <v>3</v>
      </c>
      <c r="N516" s="1480">
        <f>SUM(N517:N527)</f>
        <v>1685000</v>
      </c>
      <c r="O516" s="1480">
        <v>2</v>
      </c>
      <c r="P516" s="1480">
        <f>SUM(P517:P527)</f>
        <v>1205000</v>
      </c>
      <c r="Q516" s="1480">
        <v>3</v>
      </c>
      <c r="R516" s="1480">
        <f>SUM(R517:R527)</f>
        <v>1460000</v>
      </c>
      <c r="S516" s="1480">
        <v>3</v>
      </c>
      <c r="T516" s="1480">
        <f>SUM(T517:T527)</f>
        <v>1650000</v>
      </c>
      <c r="U516" s="1480">
        <v>3</v>
      </c>
      <c r="V516" s="1480">
        <f>SUM(V517:V527)</f>
        <v>1920000</v>
      </c>
      <c r="W516" s="1480">
        <v>17</v>
      </c>
      <c r="X516" s="173"/>
      <c r="Y516" s="1474" t="s">
        <v>1149</v>
      </c>
    </row>
    <row r="517" spans="2:25" ht="38.25" x14ac:dyDescent="0.25">
      <c r="B517" s="2012"/>
      <c r="C517" s="674"/>
      <c r="D517" s="674"/>
      <c r="E517" s="232"/>
      <c r="F517" s="674"/>
      <c r="G517" s="2013" t="s">
        <v>810</v>
      </c>
      <c r="H517" s="173" t="s">
        <v>811</v>
      </c>
      <c r="I517" s="1473" t="s">
        <v>103</v>
      </c>
      <c r="J517" s="173"/>
      <c r="K517" s="1480">
        <v>1</v>
      </c>
      <c r="L517" s="1480">
        <v>320000</v>
      </c>
      <c r="M517" s="1480">
        <v>1</v>
      </c>
      <c r="N517" s="1480">
        <v>530000</v>
      </c>
      <c r="O517" s="1480">
        <v>1</v>
      </c>
      <c r="P517" s="1480">
        <v>430000</v>
      </c>
      <c r="Q517" s="1480">
        <v>1</v>
      </c>
      <c r="R517" s="1480">
        <v>430000</v>
      </c>
      <c r="S517" s="1480">
        <v>1</v>
      </c>
      <c r="T517" s="1480">
        <v>450000</v>
      </c>
      <c r="U517" s="1480">
        <v>1</v>
      </c>
      <c r="V517" s="1480">
        <v>450000</v>
      </c>
      <c r="W517" s="1480"/>
      <c r="X517" s="173"/>
      <c r="Y517" s="1474" t="s">
        <v>1149</v>
      </c>
    </row>
    <row r="518" spans="2:25" ht="38.25" x14ac:dyDescent="0.25">
      <c r="B518" s="2012"/>
      <c r="C518" s="674"/>
      <c r="D518" s="674"/>
      <c r="E518" s="232"/>
      <c r="F518" s="674"/>
      <c r="G518" s="2014"/>
      <c r="H518" s="173" t="s">
        <v>812</v>
      </c>
      <c r="I518" s="1473" t="s">
        <v>103</v>
      </c>
      <c r="J518" s="173"/>
      <c r="K518" s="1480">
        <v>26</v>
      </c>
      <c r="L518" s="1480">
        <v>0</v>
      </c>
      <c r="M518" s="1480">
        <v>26</v>
      </c>
      <c r="N518" s="1480">
        <v>0</v>
      </c>
      <c r="O518" s="1480">
        <v>26</v>
      </c>
      <c r="P518" s="1480">
        <v>0</v>
      </c>
      <c r="Q518" s="1480">
        <v>26</v>
      </c>
      <c r="R518" s="1480">
        <v>0</v>
      </c>
      <c r="S518" s="1480">
        <v>26</v>
      </c>
      <c r="T518" s="1480">
        <v>0</v>
      </c>
      <c r="U518" s="1480">
        <v>26</v>
      </c>
      <c r="V518" s="1480">
        <v>0</v>
      </c>
      <c r="W518" s="1480"/>
      <c r="X518" s="173"/>
      <c r="Y518" s="1474" t="s">
        <v>1149</v>
      </c>
    </row>
    <row r="519" spans="2:25" ht="38.25" x14ac:dyDescent="0.25">
      <c r="B519" s="2012"/>
      <c r="C519" s="674"/>
      <c r="D519" s="674"/>
      <c r="E519" s="232"/>
      <c r="F519" s="674"/>
      <c r="G519" s="2044"/>
      <c r="H519" s="173" t="s">
        <v>813</v>
      </c>
      <c r="I519" s="1473" t="s">
        <v>103</v>
      </c>
      <c r="J519" s="173"/>
      <c r="K519" s="1480">
        <v>52</v>
      </c>
      <c r="L519" s="1480">
        <v>0</v>
      </c>
      <c r="M519" s="1480">
        <v>52</v>
      </c>
      <c r="N519" s="1480">
        <v>0</v>
      </c>
      <c r="O519" s="1480">
        <v>52</v>
      </c>
      <c r="P519" s="1480">
        <v>0</v>
      </c>
      <c r="Q519" s="1480">
        <v>52</v>
      </c>
      <c r="R519" s="1480">
        <v>0</v>
      </c>
      <c r="S519" s="1480">
        <v>52</v>
      </c>
      <c r="T519" s="1480">
        <v>0</v>
      </c>
      <c r="U519" s="1480">
        <v>52</v>
      </c>
      <c r="V519" s="1480">
        <v>0</v>
      </c>
      <c r="W519" s="1480"/>
      <c r="X519" s="173"/>
      <c r="Y519" s="1474" t="s">
        <v>1149</v>
      </c>
    </row>
    <row r="520" spans="2:25" ht="51" x14ac:dyDescent="0.25">
      <c r="B520" s="2012"/>
      <c r="C520" s="674"/>
      <c r="D520" s="674"/>
      <c r="E520" s="232"/>
      <c r="F520" s="674"/>
      <c r="G520" s="673" t="s">
        <v>814</v>
      </c>
      <c r="H520" s="173" t="s">
        <v>815</v>
      </c>
      <c r="I520" s="1473" t="s">
        <v>79</v>
      </c>
      <c r="J520" s="173"/>
      <c r="K520" s="1480">
        <v>1</v>
      </c>
      <c r="L520" s="1480">
        <v>180000</v>
      </c>
      <c r="M520" s="1480">
        <v>1</v>
      </c>
      <c r="N520" s="1480">
        <v>220000</v>
      </c>
      <c r="O520" s="1480">
        <v>1</v>
      </c>
      <c r="P520" s="1480">
        <v>220000</v>
      </c>
      <c r="Q520" s="1480">
        <v>1</v>
      </c>
      <c r="R520" s="1480">
        <v>240000</v>
      </c>
      <c r="S520" s="1480">
        <v>1</v>
      </c>
      <c r="T520" s="1480">
        <v>240000</v>
      </c>
      <c r="U520" s="1480">
        <v>1</v>
      </c>
      <c r="V520" s="1480">
        <v>250000</v>
      </c>
      <c r="W520" s="1480"/>
      <c r="X520" s="173"/>
      <c r="Y520" s="1474" t="s">
        <v>1149</v>
      </c>
    </row>
    <row r="521" spans="2:25" ht="63.75" x14ac:dyDescent="0.25">
      <c r="B521" s="2012"/>
      <c r="C521" s="674"/>
      <c r="D521" s="674"/>
      <c r="E521" s="232"/>
      <c r="F521" s="674"/>
      <c r="G521" s="675"/>
      <c r="H521" s="173" t="s">
        <v>816</v>
      </c>
      <c r="I521" s="1473" t="s">
        <v>257</v>
      </c>
      <c r="J521" s="173"/>
      <c r="K521" s="1480">
        <v>1</v>
      </c>
      <c r="L521" s="1480">
        <v>0</v>
      </c>
      <c r="M521" s="1480">
        <v>1</v>
      </c>
      <c r="N521" s="1480">
        <v>0</v>
      </c>
      <c r="O521" s="1480">
        <v>1</v>
      </c>
      <c r="P521" s="1480">
        <v>0</v>
      </c>
      <c r="Q521" s="1480">
        <v>1</v>
      </c>
      <c r="R521" s="1480">
        <v>0</v>
      </c>
      <c r="S521" s="1480">
        <v>1</v>
      </c>
      <c r="T521" s="1480">
        <v>0</v>
      </c>
      <c r="U521" s="1480">
        <v>1</v>
      </c>
      <c r="V521" s="1480">
        <v>0</v>
      </c>
      <c r="W521" s="1480"/>
      <c r="X521" s="173"/>
      <c r="Y521" s="1474" t="s">
        <v>1149</v>
      </c>
    </row>
    <row r="522" spans="2:25" ht="63.75" x14ac:dyDescent="0.25">
      <c r="B522" s="2012"/>
      <c r="C522" s="674"/>
      <c r="D522" s="674"/>
      <c r="E522" s="232"/>
      <c r="F522" s="674"/>
      <c r="G522" s="173" t="s">
        <v>817</v>
      </c>
      <c r="H522" s="173" t="s">
        <v>818</v>
      </c>
      <c r="I522" s="1473" t="s">
        <v>79</v>
      </c>
      <c r="J522" s="173"/>
      <c r="K522" s="1480">
        <v>1</v>
      </c>
      <c r="L522" s="1480">
        <v>580000</v>
      </c>
      <c r="M522" s="1480">
        <v>0</v>
      </c>
      <c r="N522" s="1480">
        <v>350000</v>
      </c>
      <c r="O522" s="1480">
        <v>0</v>
      </c>
      <c r="P522" s="1480">
        <v>0</v>
      </c>
      <c r="Q522" s="1480">
        <v>0</v>
      </c>
      <c r="R522" s="1480">
        <v>0</v>
      </c>
      <c r="S522" s="1480">
        <v>1</v>
      </c>
      <c r="T522" s="1480">
        <v>350000</v>
      </c>
      <c r="U522" s="1480">
        <v>1</v>
      </c>
      <c r="V522" s="1480">
        <v>600000</v>
      </c>
      <c r="W522" s="1480"/>
      <c r="X522" s="173"/>
      <c r="Y522" s="1474" t="s">
        <v>1149</v>
      </c>
    </row>
    <row r="523" spans="2:25" ht="76.5" x14ac:dyDescent="0.25">
      <c r="B523" s="2012"/>
      <c r="C523" s="674"/>
      <c r="D523" s="674"/>
      <c r="E523" s="232"/>
      <c r="F523" s="674"/>
      <c r="G523" s="173"/>
      <c r="H523" s="173" t="s">
        <v>819</v>
      </c>
      <c r="I523" s="1473" t="s">
        <v>79</v>
      </c>
      <c r="J523" s="173"/>
      <c r="K523" s="1480"/>
      <c r="L523" s="1480">
        <v>0</v>
      </c>
      <c r="M523" s="1480">
        <v>1</v>
      </c>
      <c r="N523" s="1480">
        <v>0</v>
      </c>
      <c r="O523" s="1480"/>
      <c r="P523" s="1480">
        <v>0</v>
      </c>
      <c r="Q523" s="1480"/>
      <c r="R523" s="1480">
        <v>0</v>
      </c>
      <c r="S523" s="1480"/>
      <c r="T523" s="1480">
        <v>0</v>
      </c>
      <c r="U523" s="1480"/>
      <c r="V523" s="1480">
        <v>0</v>
      </c>
      <c r="W523" s="1480"/>
      <c r="X523" s="173"/>
      <c r="Y523" s="1474" t="s">
        <v>1149</v>
      </c>
    </row>
    <row r="524" spans="2:25" ht="76.5" x14ac:dyDescent="0.25">
      <c r="B524" s="2012"/>
      <c r="C524" s="674"/>
      <c r="D524" s="674"/>
      <c r="E524" s="232"/>
      <c r="F524" s="674"/>
      <c r="G524" s="173" t="s">
        <v>820</v>
      </c>
      <c r="H524" s="173" t="s">
        <v>821</v>
      </c>
      <c r="I524" s="1473" t="s">
        <v>79</v>
      </c>
      <c r="J524" s="173"/>
      <c r="K524" s="1480">
        <v>6</v>
      </c>
      <c r="L524" s="1480">
        <v>250000</v>
      </c>
      <c r="M524" s="1480">
        <v>6</v>
      </c>
      <c r="N524" s="1480">
        <v>325000</v>
      </c>
      <c r="O524" s="1480">
        <v>6</v>
      </c>
      <c r="P524" s="1480">
        <v>325000</v>
      </c>
      <c r="Q524" s="1480">
        <v>6</v>
      </c>
      <c r="R524" s="1480">
        <v>350000</v>
      </c>
      <c r="S524" s="1480">
        <v>6</v>
      </c>
      <c r="T524" s="1480">
        <v>350000</v>
      </c>
      <c r="U524" s="1480">
        <v>6</v>
      </c>
      <c r="V524" s="1480">
        <v>350000</v>
      </c>
      <c r="W524" s="1480"/>
      <c r="X524" s="173"/>
      <c r="Y524" s="1474" t="s">
        <v>1149</v>
      </c>
    </row>
    <row r="525" spans="2:25" ht="127.5" x14ac:dyDescent="0.25">
      <c r="B525" s="2012"/>
      <c r="C525" s="674"/>
      <c r="D525" s="674"/>
      <c r="E525" s="232"/>
      <c r="F525" s="674"/>
      <c r="G525" s="173" t="s">
        <v>822</v>
      </c>
      <c r="H525" s="173" t="s">
        <v>823</v>
      </c>
      <c r="I525" s="1473" t="s">
        <v>79</v>
      </c>
      <c r="J525" s="173"/>
      <c r="K525" s="1480">
        <v>1</v>
      </c>
      <c r="L525" s="1480">
        <v>150000</v>
      </c>
      <c r="M525" s="1480">
        <v>1</v>
      </c>
      <c r="N525" s="1480">
        <v>230000</v>
      </c>
      <c r="O525" s="1480">
        <v>1</v>
      </c>
      <c r="P525" s="1480">
        <v>200000</v>
      </c>
      <c r="Q525" s="1480">
        <v>1</v>
      </c>
      <c r="R525" s="1480">
        <v>200000</v>
      </c>
      <c r="S525" s="1480">
        <v>1</v>
      </c>
      <c r="T525" s="1480">
        <v>220000</v>
      </c>
      <c r="U525" s="1480">
        <v>1</v>
      </c>
      <c r="V525" s="1480">
        <v>220000</v>
      </c>
      <c r="W525" s="1480"/>
      <c r="X525" s="173"/>
      <c r="Y525" s="1474" t="s">
        <v>1149</v>
      </c>
    </row>
    <row r="526" spans="2:25" ht="63.75" x14ac:dyDescent="0.25">
      <c r="B526" s="2012"/>
      <c r="C526" s="674"/>
      <c r="D526" s="674"/>
      <c r="E526" s="232"/>
      <c r="F526" s="674"/>
      <c r="G526" s="173" t="s">
        <v>824</v>
      </c>
      <c r="H526" s="173" t="s">
        <v>825</v>
      </c>
      <c r="I526" s="1473" t="s">
        <v>79</v>
      </c>
      <c r="J526" s="173"/>
      <c r="K526" s="1480">
        <v>0</v>
      </c>
      <c r="L526" s="1480">
        <v>0</v>
      </c>
      <c r="M526" s="1480">
        <v>0</v>
      </c>
      <c r="N526" s="1480">
        <v>0</v>
      </c>
      <c r="O526" s="1480">
        <v>0</v>
      </c>
      <c r="P526" s="1480">
        <v>0</v>
      </c>
      <c r="Q526" s="1480">
        <v>1</v>
      </c>
      <c r="R526" s="1480">
        <v>200000</v>
      </c>
      <c r="S526" s="1480">
        <v>0</v>
      </c>
      <c r="T526" s="1480">
        <v>0</v>
      </c>
      <c r="U526" s="1480">
        <v>0</v>
      </c>
      <c r="V526" s="1480">
        <v>0</v>
      </c>
      <c r="W526" s="1480"/>
      <c r="X526" s="173"/>
      <c r="Y526" s="1474" t="s">
        <v>1149</v>
      </c>
    </row>
    <row r="527" spans="2:25" ht="89.25" x14ac:dyDescent="0.25">
      <c r="B527" s="2012"/>
      <c r="C527" s="674"/>
      <c r="D527" s="674"/>
      <c r="E527" s="232"/>
      <c r="F527" s="674"/>
      <c r="G527" s="173" t="s">
        <v>826</v>
      </c>
      <c r="H527" s="173" t="s">
        <v>827</v>
      </c>
      <c r="I527" s="1473" t="s">
        <v>69</v>
      </c>
      <c r="J527" s="173"/>
      <c r="K527" s="1480">
        <v>1</v>
      </c>
      <c r="L527" s="1480">
        <v>25000</v>
      </c>
      <c r="M527" s="1480">
        <v>1</v>
      </c>
      <c r="N527" s="1480">
        <v>30000</v>
      </c>
      <c r="O527" s="1480">
        <v>1</v>
      </c>
      <c r="P527" s="1480">
        <v>30000</v>
      </c>
      <c r="Q527" s="1480">
        <v>1</v>
      </c>
      <c r="R527" s="1480">
        <v>40000</v>
      </c>
      <c r="S527" s="1480">
        <v>1</v>
      </c>
      <c r="T527" s="1480">
        <v>40000</v>
      </c>
      <c r="U527" s="1480">
        <v>1</v>
      </c>
      <c r="V527" s="1480">
        <v>50000</v>
      </c>
      <c r="W527" s="1480"/>
      <c r="X527" s="173"/>
      <c r="Y527" s="1474" t="s">
        <v>1149</v>
      </c>
    </row>
    <row r="528" spans="2:25" ht="89.25" x14ac:dyDescent="0.25">
      <c r="B528" s="2012"/>
      <c r="C528" s="674"/>
      <c r="D528" s="674"/>
      <c r="E528" s="232"/>
      <c r="F528" s="674"/>
      <c r="G528" s="173" t="s">
        <v>829</v>
      </c>
      <c r="H528" s="173" t="s">
        <v>828</v>
      </c>
      <c r="I528" s="1473" t="s">
        <v>830</v>
      </c>
      <c r="J528" s="173">
        <v>10</v>
      </c>
      <c r="K528" s="1480">
        <v>3</v>
      </c>
      <c r="L528" s="1480">
        <f>SUM(L529:L530)</f>
        <v>200000</v>
      </c>
      <c r="M528" s="1480">
        <v>3</v>
      </c>
      <c r="N528" s="1480">
        <f>SUM(N529:N530)</f>
        <v>220000</v>
      </c>
      <c r="O528" s="1480">
        <v>3</v>
      </c>
      <c r="P528" s="1480">
        <f>SUM(P529:P530)</f>
        <v>225000</v>
      </c>
      <c r="Q528" s="1480">
        <v>3</v>
      </c>
      <c r="R528" s="1480">
        <f>SUM(R529:R530)</f>
        <v>225000</v>
      </c>
      <c r="S528" s="1480">
        <v>3</v>
      </c>
      <c r="T528" s="1480">
        <f>SUM(T529:T530)</f>
        <v>225000</v>
      </c>
      <c r="U528" s="1480">
        <v>3</v>
      </c>
      <c r="V528" s="1480">
        <f>SUM(V529:V530)</f>
        <v>225000</v>
      </c>
      <c r="W528" s="1480">
        <v>15</v>
      </c>
      <c r="X528" s="173"/>
      <c r="Y528" s="1474" t="s">
        <v>1149</v>
      </c>
    </row>
    <row r="529" spans="2:25" ht="114.75" x14ac:dyDescent="0.25">
      <c r="B529" s="2012"/>
      <c r="C529" s="674"/>
      <c r="D529" s="674"/>
      <c r="E529" s="232"/>
      <c r="F529" s="674"/>
      <c r="G529" s="173" t="s">
        <v>831</v>
      </c>
      <c r="H529" s="173" t="s">
        <v>832</v>
      </c>
      <c r="I529" s="1473" t="s">
        <v>830</v>
      </c>
      <c r="J529" s="173"/>
      <c r="K529" s="1480">
        <v>2</v>
      </c>
      <c r="L529" s="1480">
        <v>125000</v>
      </c>
      <c r="M529" s="1480">
        <v>2</v>
      </c>
      <c r="N529" s="1480">
        <v>125000</v>
      </c>
      <c r="O529" s="1480">
        <v>2</v>
      </c>
      <c r="P529" s="1480">
        <v>125000</v>
      </c>
      <c r="Q529" s="1480">
        <v>2</v>
      </c>
      <c r="R529" s="1480">
        <v>125000</v>
      </c>
      <c r="S529" s="1480">
        <v>2</v>
      </c>
      <c r="T529" s="1480">
        <v>125000</v>
      </c>
      <c r="U529" s="1480">
        <v>2</v>
      </c>
      <c r="V529" s="1480">
        <v>125000</v>
      </c>
      <c r="W529" s="1480"/>
      <c r="X529" s="173"/>
      <c r="Y529" s="1474" t="s">
        <v>1149</v>
      </c>
    </row>
    <row r="530" spans="2:25" ht="63.75" x14ac:dyDescent="0.25">
      <c r="B530" s="2012"/>
      <c r="C530" s="674"/>
      <c r="D530" s="674"/>
      <c r="E530" s="232"/>
      <c r="F530" s="674"/>
      <c r="G530" s="1476" t="s">
        <v>833</v>
      </c>
      <c r="H530" s="173" t="s">
        <v>834</v>
      </c>
      <c r="I530" s="1473" t="s">
        <v>79</v>
      </c>
      <c r="J530" s="173"/>
      <c r="K530" s="1480">
        <v>1</v>
      </c>
      <c r="L530" s="1480">
        <v>75000</v>
      </c>
      <c r="M530" s="1480">
        <v>1</v>
      </c>
      <c r="N530" s="1480">
        <v>95000</v>
      </c>
      <c r="O530" s="1480">
        <v>1</v>
      </c>
      <c r="P530" s="1480">
        <v>100000</v>
      </c>
      <c r="Q530" s="1480">
        <v>1</v>
      </c>
      <c r="R530" s="1480">
        <v>100000</v>
      </c>
      <c r="S530" s="1480">
        <v>1</v>
      </c>
      <c r="T530" s="1480">
        <v>100000</v>
      </c>
      <c r="U530" s="1480">
        <v>1</v>
      </c>
      <c r="V530" s="1480">
        <v>100000</v>
      </c>
      <c r="W530" s="1480"/>
      <c r="X530" s="173"/>
      <c r="Y530" s="1474" t="s">
        <v>1149</v>
      </c>
    </row>
    <row r="531" spans="2:25" x14ac:dyDescent="0.25">
      <c r="B531" s="2012"/>
      <c r="C531" s="674"/>
      <c r="D531" s="674"/>
      <c r="E531" s="232"/>
      <c r="F531" s="674"/>
      <c r="G531" s="1476"/>
      <c r="H531" s="173"/>
      <c r="I531" s="1473"/>
      <c r="J531" s="173"/>
      <c r="K531" s="1480"/>
      <c r="L531" s="1480"/>
      <c r="M531" s="1480"/>
      <c r="N531" s="1480"/>
      <c r="O531" s="1480"/>
      <c r="P531" s="1480"/>
      <c r="Q531" s="1480"/>
      <c r="R531" s="1480"/>
      <c r="S531" s="1480"/>
      <c r="T531" s="1480"/>
      <c r="U531" s="1480"/>
      <c r="V531" s="1480"/>
      <c r="W531" s="1480"/>
      <c r="X531" s="173"/>
      <c r="Y531" s="1474" t="s">
        <v>1149</v>
      </c>
    </row>
    <row r="532" spans="2:25" ht="89.25" x14ac:dyDescent="0.25">
      <c r="B532" s="2012"/>
      <c r="C532" s="674"/>
      <c r="D532" s="674"/>
      <c r="E532" s="232"/>
      <c r="F532" s="674"/>
      <c r="G532" s="173" t="s">
        <v>836</v>
      </c>
      <c r="H532" s="173" t="s">
        <v>835</v>
      </c>
      <c r="I532" s="1473" t="s">
        <v>79</v>
      </c>
      <c r="J532" s="173">
        <v>0</v>
      </c>
      <c r="K532" s="1480">
        <v>3</v>
      </c>
      <c r="L532" s="1480">
        <f>SUM(L533:L534)</f>
        <v>750000</v>
      </c>
      <c r="M532" s="1480">
        <v>1</v>
      </c>
      <c r="N532" s="1480">
        <f>SUM(N533:N534)</f>
        <v>350000</v>
      </c>
      <c r="O532" s="1480">
        <v>1</v>
      </c>
      <c r="P532" s="1480">
        <f>SUM(P533:P534)</f>
        <v>400000</v>
      </c>
      <c r="Q532" s="1480">
        <v>1</v>
      </c>
      <c r="R532" s="1480">
        <f>SUM(R533:R534)</f>
        <v>400000</v>
      </c>
      <c r="S532" s="1480">
        <v>1</v>
      </c>
      <c r="T532" s="1480">
        <f>SUM(T533:T534)</f>
        <v>400000</v>
      </c>
      <c r="U532" s="1480">
        <v>1</v>
      </c>
      <c r="V532" s="1480">
        <f>SUM(V533:V534)</f>
        <v>400000</v>
      </c>
      <c r="W532" s="1480">
        <v>8</v>
      </c>
      <c r="X532" s="173"/>
      <c r="Y532" s="1474" t="s">
        <v>1149</v>
      </c>
    </row>
    <row r="533" spans="2:25" ht="89.25" x14ac:dyDescent="0.25">
      <c r="B533" s="2012"/>
      <c r="C533" s="674"/>
      <c r="D533" s="674"/>
      <c r="E533" s="232"/>
      <c r="F533" s="674"/>
      <c r="G533" s="173" t="s">
        <v>837</v>
      </c>
      <c r="H533" s="173" t="s">
        <v>838</v>
      </c>
      <c r="I533" s="1473" t="s">
        <v>79</v>
      </c>
      <c r="J533" s="173"/>
      <c r="K533" s="1480">
        <v>3</v>
      </c>
      <c r="L533" s="1480">
        <v>650000</v>
      </c>
      <c r="M533" s="1480">
        <v>1</v>
      </c>
      <c r="N533" s="1480">
        <v>250000</v>
      </c>
      <c r="O533" s="1480">
        <v>1</v>
      </c>
      <c r="P533" s="1480">
        <v>300000</v>
      </c>
      <c r="Q533" s="1480">
        <v>1</v>
      </c>
      <c r="R533" s="1480">
        <v>300000</v>
      </c>
      <c r="S533" s="1480">
        <v>1</v>
      </c>
      <c r="T533" s="1480">
        <v>300000</v>
      </c>
      <c r="U533" s="1480">
        <v>1</v>
      </c>
      <c r="V533" s="1480">
        <v>300000</v>
      </c>
      <c r="W533" s="1480"/>
      <c r="X533" s="173"/>
      <c r="Y533" s="1474" t="s">
        <v>1149</v>
      </c>
    </row>
    <row r="534" spans="2:25" ht="63.75" x14ac:dyDescent="0.25">
      <c r="B534" s="2012"/>
      <c r="C534" s="674"/>
      <c r="D534" s="674"/>
      <c r="E534" s="232"/>
      <c r="F534" s="674"/>
      <c r="G534" s="173" t="s">
        <v>839</v>
      </c>
      <c r="H534" s="173" t="s">
        <v>840</v>
      </c>
      <c r="I534" s="1473" t="s">
        <v>103</v>
      </c>
      <c r="J534" s="173"/>
      <c r="K534" s="1480">
        <v>10</v>
      </c>
      <c r="L534" s="1480">
        <v>100000</v>
      </c>
      <c r="M534" s="1480">
        <v>10</v>
      </c>
      <c r="N534" s="1480">
        <v>100000</v>
      </c>
      <c r="O534" s="1480">
        <v>10</v>
      </c>
      <c r="P534" s="1480">
        <v>100000</v>
      </c>
      <c r="Q534" s="1480">
        <v>10</v>
      </c>
      <c r="R534" s="1480">
        <v>100000</v>
      </c>
      <c r="S534" s="1480">
        <v>10</v>
      </c>
      <c r="T534" s="1480">
        <v>100000</v>
      </c>
      <c r="U534" s="1480">
        <v>10</v>
      </c>
      <c r="V534" s="1480">
        <v>100000</v>
      </c>
      <c r="W534" s="1480"/>
      <c r="X534" s="173"/>
      <c r="Y534" s="1474" t="s">
        <v>1149</v>
      </c>
    </row>
    <row r="535" spans="2:25" ht="63.75" x14ac:dyDescent="0.25">
      <c r="B535" s="2012"/>
      <c r="C535" s="674"/>
      <c r="D535" s="674"/>
      <c r="E535" s="232"/>
      <c r="F535" s="674"/>
      <c r="G535" s="173" t="s">
        <v>842</v>
      </c>
      <c r="H535" s="173" t="s">
        <v>841</v>
      </c>
      <c r="I535" s="1473" t="s">
        <v>79</v>
      </c>
      <c r="J535" s="1480">
        <v>0</v>
      </c>
      <c r="K535" s="1480">
        <v>1</v>
      </c>
      <c r="L535" s="1480">
        <f>SUM(L536)</f>
        <v>0</v>
      </c>
      <c r="M535" s="1480">
        <v>1</v>
      </c>
      <c r="N535" s="1480">
        <f>SUM(N536)</f>
        <v>250000</v>
      </c>
      <c r="O535" s="1480">
        <v>1</v>
      </c>
      <c r="P535" s="1480">
        <f>SUM(P536)</f>
        <v>250000</v>
      </c>
      <c r="Q535" s="1480">
        <v>1</v>
      </c>
      <c r="R535" s="1480">
        <f>SUM(R536)</f>
        <v>250000</v>
      </c>
      <c r="S535" s="1480">
        <v>1</v>
      </c>
      <c r="T535" s="1480">
        <f>SUM(T536)</f>
        <v>250000</v>
      </c>
      <c r="U535" s="1480">
        <v>1</v>
      </c>
      <c r="V535" s="1480">
        <f>SUM(V536)</f>
        <v>250000</v>
      </c>
      <c r="W535" s="1480"/>
      <c r="X535" s="173"/>
      <c r="Y535" s="1474" t="s">
        <v>1149</v>
      </c>
    </row>
    <row r="536" spans="2:25" ht="63.75" x14ac:dyDescent="0.25">
      <c r="B536" s="2012"/>
      <c r="C536" s="674"/>
      <c r="D536" s="674"/>
      <c r="E536" s="232"/>
      <c r="F536" s="674"/>
      <c r="G536" s="173" t="s">
        <v>843</v>
      </c>
      <c r="H536" s="173" t="s">
        <v>844</v>
      </c>
      <c r="I536" s="1473" t="s">
        <v>79</v>
      </c>
      <c r="J536" s="173"/>
      <c r="K536" s="1480">
        <v>1</v>
      </c>
      <c r="L536" s="1480">
        <v>0</v>
      </c>
      <c r="M536" s="1480">
        <v>1</v>
      </c>
      <c r="N536" s="1480">
        <v>250000</v>
      </c>
      <c r="O536" s="1480">
        <v>1</v>
      </c>
      <c r="P536" s="1480">
        <v>250000</v>
      </c>
      <c r="Q536" s="1480">
        <v>1</v>
      </c>
      <c r="R536" s="1480">
        <v>250000</v>
      </c>
      <c r="S536" s="1480">
        <v>1</v>
      </c>
      <c r="T536" s="1480">
        <v>250000</v>
      </c>
      <c r="U536" s="1480">
        <v>1</v>
      </c>
      <c r="V536" s="1480">
        <v>250000</v>
      </c>
      <c r="W536" s="1480"/>
      <c r="X536" s="173"/>
      <c r="Y536" s="1474" t="s">
        <v>1149</v>
      </c>
    </row>
    <row r="537" spans="2:25" ht="63.75" x14ac:dyDescent="0.25">
      <c r="B537" s="2012"/>
      <c r="C537" s="674"/>
      <c r="D537" s="674"/>
      <c r="E537" s="232"/>
      <c r="F537" s="674"/>
      <c r="G537" s="173" t="s">
        <v>846</v>
      </c>
      <c r="H537" s="173" t="s">
        <v>845</v>
      </c>
      <c r="I537" s="1473" t="s">
        <v>79</v>
      </c>
      <c r="J537" s="173"/>
      <c r="K537" s="1480">
        <v>4</v>
      </c>
      <c r="L537" s="1480">
        <f>SUM(L538:L540)</f>
        <v>670000</v>
      </c>
      <c r="M537" s="1480">
        <v>4</v>
      </c>
      <c r="N537" s="1480">
        <f>SUM(N538:N540)</f>
        <v>370000</v>
      </c>
      <c r="O537" s="1480">
        <v>4</v>
      </c>
      <c r="P537" s="1480">
        <f>SUM(P538:P540)</f>
        <v>625000</v>
      </c>
      <c r="Q537" s="1480">
        <v>4</v>
      </c>
      <c r="R537" s="1480">
        <f>SUM(R538:R540)</f>
        <v>625000</v>
      </c>
      <c r="S537" s="1480">
        <v>4</v>
      </c>
      <c r="T537" s="1480">
        <f>SUM(T538:T540)</f>
        <v>835000</v>
      </c>
      <c r="U537" s="1480">
        <v>4</v>
      </c>
      <c r="V537" s="1480">
        <f>SUM(V538:V540)</f>
        <v>635000</v>
      </c>
      <c r="W537" s="1480"/>
      <c r="X537" s="173"/>
      <c r="Y537" s="1474" t="s">
        <v>1149</v>
      </c>
    </row>
    <row r="538" spans="2:25" ht="51" x14ac:dyDescent="0.25">
      <c r="B538" s="2012"/>
      <c r="C538" s="674"/>
      <c r="D538" s="674"/>
      <c r="E538" s="232"/>
      <c r="F538" s="674"/>
      <c r="G538" s="173" t="s">
        <v>847</v>
      </c>
      <c r="H538" s="173" t="s">
        <v>848</v>
      </c>
      <c r="I538" s="1473" t="s">
        <v>79</v>
      </c>
      <c r="J538" s="173"/>
      <c r="K538" s="1480">
        <v>3</v>
      </c>
      <c r="L538" s="1480">
        <v>340000</v>
      </c>
      <c r="M538" s="1480">
        <v>3</v>
      </c>
      <c r="N538" s="1480">
        <v>235000</v>
      </c>
      <c r="O538" s="1480">
        <v>4</v>
      </c>
      <c r="P538" s="1480">
        <v>490000</v>
      </c>
      <c r="Q538" s="1480">
        <v>4</v>
      </c>
      <c r="R538" s="1480">
        <v>490000</v>
      </c>
      <c r="S538" s="1480">
        <v>4</v>
      </c>
      <c r="T538" s="1480">
        <v>500000</v>
      </c>
      <c r="U538" s="1480">
        <v>4</v>
      </c>
      <c r="V538" s="1480">
        <v>500000</v>
      </c>
      <c r="W538" s="1480"/>
      <c r="X538" s="173"/>
      <c r="Y538" s="1474" t="s">
        <v>1149</v>
      </c>
    </row>
    <row r="539" spans="2:25" ht="63.75" x14ac:dyDescent="0.25">
      <c r="B539" s="2012"/>
      <c r="C539" s="674"/>
      <c r="D539" s="674"/>
      <c r="E539" s="232"/>
      <c r="F539" s="674"/>
      <c r="G539" s="173" t="s">
        <v>849</v>
      </c>
      <c r="H539" s="173" t="s">
        <v>850</v>
      </c>
      <c r="I539" s="1473" t="s">
        <v>257</v>
      </c>
      <c r="J539" s="173"/>
      <c r="K539" s="1480">
        <v>1</v>
      </c>
      <c r="L539" s="1480">
        <v>300000</v>
      </c>
      <c r="M539" s="1480">
        <v>1</v>
      </c>
      <c r="N539" s="1480">
        <v>100000</v>
      </c>
      <c r="O539" s="1480">
        <v>1</v>
      </c>
      <c r="P539" s="1480">
        <v>100000</v>
      </c>
      <c r="Q539" s="1480">
        <v>1</v>
      </c>
      <c r="R539" s="1480">
        <v>100000</v>
      </c>
      <c r="S539" s="1480">
        <v>1</v>
      </c>
      <c r="T539" s="1480">
        <v>300000</v>
      </c>
      <c r="U539" s="1480">
        <v>1</v>
      </c>
      <c r="V539" s="1480">
        <v>100000</v>
      </c>
      <c r="W539" s="1480"/>
      <c r="X539" s="173"/>
      <c r="Y539" s="1474" t="s">
        <v>1149</v>
      </c>
    </row>
    <row r="540" spans="2:25" ht="25.5" x14ac:dyDescent="0.25">
      <c r="B540" s="2012"/>
      <c r="C540" s="674"/>
      <c r="D540" s="674"/>
      <c r="E540" s="232"/>
      <c r="F540" s="674"/>
      <c r="G540" s="1476" t="s">
        <v>851</v>
      </c>
      <c r="H540" s="173" t="s">
        <v>852</v>
      </c>
      <c r="I540" s="1473"/>
      <c r="J540" s="173"/>
      <c r="K540" s="1480">
        <v>1</v>
      </c>
      <c r="L540" s="1480">
        <v>30000</v>
      </c>
      <c r="M540" s="1480">
        <v>1</v>
      </c>
      <c r="N540" s="1480">
        <v>35000</v>
      </c>
      <c r="O540" s="1480">
        <v>1</v>
      </c>
      <c r="P540" s="1480">
        <v>35000</v>
      </c>
      <c r="Q540" s="1480">
        <v>1</v>
      </c>
      <c r="R540" s="1480">
        <v>35000</v>
      </c>
      <c r="S540" s="1480">
        <v>1</v>
      </c>
      <c r="T540" s="1480">
        <v>35000</v>
      </c>
      <c r="U540" s="1480">
        <v>1</v>
      </c>
      <c r="V540" s="1480">
        <v>35000</v>
      </c>
      <c r="W540" s="1480"/>
      <c r="X540" s="173"/>
      <c r="Y540" s="1474" t="s">
        <v>1149</v>
      </c>
    </row>
    <row r="541" spans="2:25" ht="38.25" x14ac:dyDescent="0.25">
      <c r="B541" s="2012"/>
      <c r="C541" s="674"/>
      <c r="D541" s="674"/>
      <c r="E541" s="232"/>
      <c r="F541" s="674"/>
      <c r="G541" s="173" t="s">
        <v>853</v>
      </c>
      <c r="H541" s="173" t="s">
        <v>854</v>
      </c>
      <c r="I541" s="1473" t="s">
        <v>855</v>
      </c>
      <c r="J541" s="173"/>
      <c r="K541" s="1480">
        <v>4</v>
      </c>
      <c r="L541" s="1480">
        <f>SUM(L542)</f>
        <v>120000</v>
      </c>
      <c r="M541" s="1480">
        <v>4</v>
      </c>
      <c r="N541" s="1480">
        <f>SUM(N542)</f>
        <v>130000</v>
      </c>
      <c r="O541" s="1480">
        <v>4</v>
      </c>
      <c r="P541" s="1480">
        <f>SUM(P542)</f>
        <v>130000</v>
      </c>
      <c r="Q541" s="1480">
        <v>4</v>
      </c>
      <c r="R541" s="1480">
        <f>SUM(R542)</f>
        <v>140000</v>
      </c>
      <c r="S541" s="1480">
        <v>4</v>
      </c>
      <c r="T541" s="1480">
        <f>SUM(T542)</f>
        <v>140000</v>
      </c>
      <c r="U541" s="1480">
        <v>4</v>
      </c>
      <c r="V541" s="1480">
        <f>SUM(V542)</f>
        <v>150000</v>
      </c>
      <c r="W541" s="1480"/>
      <c r="X541" s="173"/>
      <c r="Y541" s="1474" t="s">
        <v>1149</v>
      </c>
    </row>
    <row r="542" spans="2:25" ht="51" x14ac:dyDescent="0.25">
      <c r="B542" s="2012"/>
      <c r="C542" s="674"/>
      <c r="D542" s="674"/>
      <c r="E542" s="232"/>
      <c r="F542" s="674"/>
      <c r="G542" s="173" t="s">
        <v>856</v>
      </c>
      <c r="H542" s="173" t="s">
        <v>857</v>
      </c>
      <c r="I542" s="1473" t="s">
        <v>855</v>
      </c>
      <c r="J542" s="173"/>
      <c r="K542" s="1480">
        <v>4</v>
      </c>
      <c r="L542" s="1480">
        <v>120000</v>
      </c>
      <c r="M542" s="1480">
        <v>4</v>
      </c>
      <c r="N542" s="1480">
        <v>130000</v>
      </c>
      <c r="O542" s="1480">
        <v>4</v>
      </c>
      <c r="P542" s="1480">
        <v>130000</v>
      </c>
      <c r="Q542" s="1480">
        <v>4</v>
      </c>
      <c r="R542" s="1480">
        <v>140000</v>
      </c>
      <c r="S542" s="1480">
        <v>4</v>
      </c>
      <c r="T542" s="1480">
        <v>140000</v>
      </c>
      <c r="U542" s="1480">
        <v>4</v>
      </c>
      <c r="V542" s="1480">
        <v>150000</v>
      </c>
      <c r="W542" s="1480"/>
      <c r="X542" s="173"/>
      <c r="Y542" s="1474" t="s">
        <v>1149</v>
      </c>
    </row>
    <row r="543" spans="2:25" ht="51" x14ac:dyDescent="0.25">
      <c r="B543" s="2012"/>
      <c r="C543" s="674"/>
      <c r="D543" s="674"/>
      <c r="E543" s="232"/>
      <c r="F543" s="674"/>
      <c r="G543" s="173" t="s">
        <v>859</v>
      </c>
      <c r="H543" s="173" t="s">
        <v>858</v>
      </c>
      <c r="I543" s="1473"/>
      <c r="J543" s="173"/>
      <c r="K543" s="1480">
        <v>4</v>
      </c>
      <c r="L543" s="1480">
        <f>SUM(L544:L548)</f>
        <v>530000</v>
      </c>
      <c r="M543" s="1480">
        <v>4</v>
      </c>
      <c r="N543" s="1480">
        <f>SUM(N544:N548)</f>
        <v>590000</v>
      </c>
      <c r="O543" s="1480">
        <v>3</v>
      </c>
      <c r="P543" s="1480">
        <f>SUM(P544:P548)</f>
        <v>630000</v>
      </c>
      <c r="Q543" s="1480">
        <v>3</v>
      </c>
      <c r="R543" s="1480">
        <f>SUM(R544:R548)</f>
        <v>640000</v>
      </c>
      <c r="S543" s="1480">
        <v>3</v>
      </c>
      <c r="T543" s="1480">
        <f>SUM(T544:T548)</f>
        <v>640000</v>
      </c>
      <c r="U543" s="1480">
        <v>3</v>
      </c>
      <c r="V543" s="1480">
        <f>SUM(V544:V548)</f>
        <v>650000</v>
      </c>
      <c r="W543" s="1480"/>
      <c r="X543" s="173"/>
      <c r="Y543" s="1474" t="s">
        <v>1149</v>
      </c>
    </row>
    <row r="544" spans="2:25" ht="76.5" x14ac:dyDescent="0.25">
      <c r="B544" s="2012"/>
      <c r="C544" s="674"/>
      <c r="D544" s="674"/>
      <c r="E544" s="232"/>
      <c r="F544" s="674"/>
      <c r="G544" s="173" t="s">
        <v>860</v>
      </c>
      <c r="H544" s="173" t="s">
        <v>861</v>
      </c>
      <c r="I544" s="1473" t="s">
        <v>79</v>
      </c>
      <c r="J544" s="173"/>
      <c r="K544" s="1480">
        <v>1</v>
      </c>
      <c r="L544" s="1480">
        <v>80000</v>
      </c>
      <c r="M544" s="1480">
        <v>1</v>
      </c>
      <c r="N544" s="1480">
        <v>120000</v>
      </c>
      <c r="O544" s="1480">
        <v>1</v>
      </c>
      <c r="P544" s="1480">
        <v>120000</v>
      </c>
      <c r="Q544" s="1480">
        <v>1</v>
      </c>
      <c r="R544" s="1480">
        <v>130000</v>
      </c>
      <c r="S544" s="1480">
        <v>1</v>
      </c>
      <c r="T544" s="1480">
        <v>130000</v>
      </c>
      <c r="U544" s="1480">
        <v>1</v>
      </c>
      <c r="V544" s="1480">
        <v>140000</v>
      </c>
      <c r="W544" s="1480"/>
      <c r="X544" s="173"/>
      <c r="Y544" s="1474" t="s">
        <v>1149</v>
      </c>
    </row>
    <row r="545" spans="2:25" ht="63.75" x14ac:dyDescent="0.25">
      <c r="B545" s="2012"/>
      <c r="C545" s="674"/>
      <c r="D545" s="674"/>
      <c r="E545" s="232"/>
      <c r="F545" s="674"/>
      <c r="G545" s="173" t="s">
        <v>862</v>
      </c>
      <c r="H545" s="173" t="s">
        <v>863</v>
      </c>
      <c r="I545" s="1473" t="s">
        <v>69</v>
      </c>
      <c r="J545" s="173"/>
      <c r="K545" s="1480">
        <v>1</v>
      </c>
      <c r="L545" s="1480">
        <v>160000</v>
      </c>
      <c r="M545" s="1480">
        <v>1</v>
      </c>
      <c r="N545" s="1480">
        <v>150000</v>
      </c>
      <c r="O545" s="1480">
        <v>1</v>
      </c>
      <c r="P545" s="1480">
        <v>175000</v>
      </c>
      <c r="Q545" s="1480">
        <v>1</v>
      </c>
      <c r="R545" s="1480">
        <v>175000</v>
      </c>
      <c r="S545" s="1480">
        <v>1</v>
      </c>
      <c r="T545" s="1480">
        <v>175000</v>
      </c>
      <c r="U545" s="1480">
        <v>1</v>
      </c>
      <c r="V545" s="1480">
        <v>175000</v>
      </c>
      <c r="W545" s="1480"/>
      <c r="X545" s="173"/>
      <c r="Y545" s="1474" t="s">
        <v>1149</v>
      </c>
    </row>
    <row r="546" spans="2:25" ht="38.25" x14ac:dyDescent="0.25">
      <c r="B546" s="2012"/>
      <c r="C546" s="674"/>
      <c r="D546" s="674"/>
      <c r="E546" s="232"/>
      <c r="F546" s="674"/>
      <c r="G546" s="173" t="s">
        <v>864</v>
      </c>
      <c r="H546" s="173" t="s">
        <v>865</v>
      </c>
      <c r="I546" s="1473" t="s">
        <v>79</v>
      </c>
      <c r="J546" s="173"/>
      <c r="K546" s="1480">
        <v>1</v>
      </c>
      <c r="L546" s="1480">
        <v>50000</v>
      </c>
      <c r="M546" s="1480">
        <v>1</v>
      </c>
      <c r="N546" s="1480">
        <v>70000</v>
      </c>
      <c r="O546" s="1480">
        <v>1</v>
      </c>
      <c r="P546" s="1480">
        <v>75000</v>
      </c>
      <c r="Q546" s="1480">
        <v>1</v>
      </c>
      <c r="R546" s="1480">
        <v>75000</v>
      </c>
      <c r="S546" s="1480">
        <v>1</v>
      </c>
      <c r="T546" s="1480">
        <v>75000</v>
      </c>
      <c r="U546" s="1480">
        <v>1</v>
      </c>
      <c r="V546" s="1480">
        <v>75000</v>
      </c>
      <c r="W546" s="1480"/>
      <c r="X546" s="173"/>
      <c r="Y546" s="1474" t="s">
        <v>1149</v>
      </c>
    </row>
    <row r="547" spans="2:25" ht="63.75" x14ac:dyDescent="0.25">
      <c r="B547" s="2012"/>
      <c r="C547" s="674"/>
      <c r="D547" s="674"/>
      <c r="E547" s="232"/>
      <c r="F547" s="674"/>
      <c r="G547" s="173" t="s">
        <v>866</v>
      </c>
      <c r="H547" s="173" t="s">
        <v>867</v>
      </c>
      <c r="I547" s="1473" t="s">
        <v>257</v>
      </c>
      <c r="J547" s="173"/>
      <c r="K547" s="1480">
        <v>1</v>
      </c>
      <c r="L547" s="1480">
        <v>200000</v>
      </c>
      <c r="M547" s="1480">
        <v>1</v>
      </c>
      <c r="N547" s="1480">
        <v>200000</v>
      </c>
      <c r="O547" s="1480">
        <v>1</v>
      </c>
      <c r="P547" s="1480">
        <v>200000</v>
      </c>
      <c r="Q547" s="1480">
        <v>1</v>
      </c>
      <c r="R547" s="1480">
        <v>200000</v>
      </c>
      <c r="S547" s="1480">
        <v>1</v>
      </c>
      <c r="T547" s="1480">
        <v>200000</v>
      </c>
      <c r="U547" s="1480">
        <v>1</v>
      </c>
      <c r="V547" s="1480">
        <v>200000</v>
      </c>
      <c r="W547" s="1480"/>
      <c r="X547" s="173"/>
      <c r="Y547" s="1474" t="s">
        <v>1149</v>
      </c>
    </row>
    <row r="548" spans="2:25" ht="51" x14ac:dyDescent="0.25">
      <c r="B548" s="2012"/>
      <c r="C548" s="674"/>
      <c r="D548" s="674"/>
      <c r="E548" s="232"/>
      <c r="F548" s="674"/>
      <c r="G548" s="173" t="s">
        <v>822</v>
      </c>
      <c r="H548" s="173" t="s">
        <v>868</v>
      </c>
      <c r="I548" s="1473" t="s">
        <v>79</v>
      </c>
      <c r="J548" s="173"/>
      <c r="K548" s="1480">
        <v>1</v>
      </c>
      <c r="L548" s="1480">
        <v>40000</v>
      </c>
      <c r="M548" s="1480">
        <v>1</v>
      </c>
      <c r="N548" s="1480">
        <v>50000</v>
      </c>
      <c r="O548" s="1480"/>
      <c r="P548" s="1480">
        <v>60000</v>
      </c>
      <c r="Q548" s="1480"/>
      <c r="R548" s="1480">
        <v>60000</v>
      </c>
      <c r="S548" s="1480"/>
      <c r="T548" s="1480">
        <v>60000</v>
      </c>
      <c r="U548" s="1480"/>
      <c r="V548" s="1480">
        <v>60000</v>
      </c>
      <c r="W548" s="1480"/>
      <c r="X548" s="173"/>
      <c r="Y548" s="1474" t="s">
        <v>1149</v>
      </c>
    </row>
    <row r="549" spans="2:25" ht="89.25" x14ac:dyDescent="0.25">
      <c r="B549" s="2012"/>
      <c r="C549" s="674"/>
      <c r="D549" s="674"/>
      <c r="E549" s="232"/>
      <c r="F549" s="674"/>
      <c r="G549" s="173" t="s">
        <v>870</v>
      </c>
      <c r="H549" s="173" t="s">
        <v>869</v>
      </c>
      <c r="I549" s="1473" t="s">
        <v>103</v>
      </c>
      <c r="J549" s="173"/>
      <c r="K549" s="1480">
        <v>5</v>
      </c>
      <c r="L549" s="1480">
        <f>SUM(L550)</f>
        <v>50000</v>
      </c>
      <c r="M549" s="1480">
        <v>5</v>
      </c>
      <c r="N549" s="1480">
        <f>SUM(N550)</f>
        <v>50000</v>
      </c>
      <c r="O549" s="1480">
        <v>5</v>
      </c>
      <c r="P549" s="1480">
        <f>SUM(P550)</f>
        <v>60000</v>
      </c>
      <c r="Q549" s="1480">
        <v>5</v>
      </c>
      <c r="R549" s="1480">
        <f>SUM(R550)</f>
        <v>60000</v>
      </c>
      <c r="S549" s="1480">
        <v>5</v>
      </c>
      <c r="T549" s="1480">
        <f>SUM(T550)</f>
        <v>70000</v>
      </c>
      <c r="U549" s="1480">
        <v>5</v>
      </c>
      <c r="V549" s="1480">
        <f>SUM(V550)</f>
        <v>70000</v>
      </c>
      <c r="W549" s="1480"/>
      <c r="X549" s="173"/>
      <c r="Y549" s="1474" t="s">
        <v>1149</v>
      </c>
    </row>
    <row r="550" spans="2:25" ht="76.5" x14ac:dyDescent="0.25">
      <c r="B550" s="2012"/>
      <c r="C550" s="675"/>
      <c r="D550" s="675"/>
      <c r="E550" s="1272"/>
      <c r="F550" s="675"/>
      <c r="G550" s="173" t="s">
        <v>871</v>
      </c>
      <c r="H550" s="173" t="s">
        <v>872</v>
      </c>
      <c r="I550" s="1473" t="s">
        <v>103</v>
      </c>
      <c r="J550" s="173"/>
      <c r="K550" s="1480">
        <v>5</v>
      </c>
      <c r="L550" s="1480">
        <v>50000</v>
      </c>
      <c r="M550" s="1480">
        <v>5</v>
      </c>
      <c r="N550" s="1480">
        <v>50000</v>
      </c>
      <c r="O550" s="1480">
        <v>5</v>
      </c>
      <c r="P550" s="1480">
        <v>60000</v>
      </c>
      <c r="Q550" s="1480">
        <v>5</v>
      </c>
      <c r="R550" s="1480">
        <v>60000</v>
      </c>
      <c r="S550" s="1480">
        <v>5</v>
      </c>
      <c r="T550" s="1480">
        <v>70000</v>
      </c>
      <c r="U550" s="1480">
        <v>5</v>
      </c>
      <c r="V550" s="1480">
        <v>70000</v>
      </c>
      <c r="W550" s="1480"/>
      <c r="X550" s="173"/>
      <c r="Y550" s="1474" t="s">
        <v>1149</v>
      </c>
    </row>
    <row r="551" spans="2:25" ht="13.5" thickBot="1" x14ac:dyDescent="0.3">
      <c r="B551" s="866" t="s">
        <v>1852</v>
      </c>
      <c r="C551" s="233"/>
      <c r="D551" s="233"/>
      <c r="E551" s="233"/>
      <c r="F551" s="233"/>
      <c r="G551" s="233"/>
      <c r="H551" s="233"/>
      <c r="I551" s="1483"/>
      <c r="J551" s="233"/>
      <c r="K551" s="1631"/>
      <c r="L551" s="1631">
        <f>SUM(L478:L550)/2</f>
        <v>5968250</v>
      </c>
      <c r="M551" s="1631"/>
      <c r="N551" s="1631">
        <f>SUM(N478:N550)/2</f>
        <v>6822873</v>
      </c>
      <c r="O551" s="1631"/>
      <c r="P551" s="1631">
        <f>SUM(P478:P550)/2</f>
        <v>5961500</v>
      </c>
      <c r="Q551" s="1631"/>
      <c r="R551" s="1631">
        <f>SUM(R478:R550)/2</f>
        <v>6289500</v>
      </c>
      <c r="S551" s="1631"/>
      <c r="T551" s="1631">
        <f>SUM(T478:T550)/2</f>
        <v>7181000</v>
      </c>
      <c r="U551" s="1631"/>
      <c r="V551" s="1631">
        <f>SUM(V478:V550)/2</f>
        <v>6891000</v>
      </c>
      <c r="W551" s="1631"/>
      <c r="X551" s="233"/>
      <c r="Y551" s="1632"/>
    </row>
    <row r="552" spans="2:25" ht="13.5" thickTop="1" x14ac:dyDescent="0.25">
      <c r="B552" s="167"/>
      <c r="C552" s="167"/>
      <c r="D552" s="167"/>
      <c r="E552" s="167"/>
      <c r="F552" s="167"/>
      <c r="G552" s="167"/>
      <c r="H552" s="167"/>
      <c r="I552" s="1497"/>
      <c r="J552" s="167"/>
      <c r="K552" s="943"/>
      <c r="L552" s="1238"/>
      <c r="M552" s="943"/>
      <c r="N552" s="943"/>
      <c r="O552" s="943"/>
      <c r="P552" s="943"/>
      <c r="Q552" s="943"/>
      <c r="R552" s="943"/>
      <c r="S552" s="943"/>
      <c r="T552" s="943"/>
      <c r="U552" s="943"/>
      <c r="V552" s="943"/>
      <c r="W552" s="943"/>
      <c r="X552" s="167"/>
      <c r="Y552" s="167"/>
    </row>
    <row r="553" spans="2:25" ht="13.5" thickBot="1" x14ac:dyDescent="0.3">
      <c r="B553" s="883" t="s">
        <v>1150</v>
      </c>
      <c r="I553" s="1238"/>
      <c r="J553" s="1238"/>
      <c r="K553" s="1238"/>
      <c r="L553" s="1238"/>
      <c r="M553" s="1238"/>
      <c r="N553" s="1238"/>
      <c r="O553" s="1238"/>
      <c r="P553" s="1238"/>
      <c r="Q553" s="1238"/>
      <c r="R553" s="1238"/>
      <c r="S553" s="1238"/>
      <c r="T553" s="1238"/>
      <c r="U553" s="1238"/>
      <c r="V553" s="1238"/>
      <c r="W553" s="1238"/>
    </row>
    <row r="554" spans="2:25" ht="13.5" thickTop="1" x14ac:dyDescent="0.25">
      <c r="B554" s="2045" t="s">
        <v>494</v>
      </c>
      <c r="C554" s="2040" t="s">
        <v>752</v>
      </c>
      <c r="D554" s="2040" t="s">
        <v>576</v>
      </c>
      <c r="E554" s="2040" t="s">
        <v>577</v>
      </c>
      <c r="F554" s="2040" t="s">
        <v>3127</v>
      </c>
      <c r="G554" s="2040" t="s">
        <v>3128</v>
      </c>
      <c r="H554" s="2040" t="s">
        <v>966</v>
      </c>
      <c r="I554" s="2040" t="s">
        <v>421</v>
      </c>
      <c r="J554" s="2055" t="s">
        <v>967</v>
      </c>
      <c r="K554" s="2053" t="s">
        <v>7</v>
      </c>
      <c r="L554" s="2054"/>
      <c r="M554" s="2054"/>
      <c r="N554" s="2054"/>
      <c r="O554" s="2054"/>
      <c r="P554" s="2054"/>
      <c r="Q554" s="2054"/>
      <c r="R554" s="2054"/>
      <c r="S554" s="2054"/>
      <c r="T554" s="2054"/>
      <c r="U554" s="2054"/>
      <c r="V554" s="2054"/>
      <c r="W554" s="2054"/>
      <c r="X554" s="2040" t="s">
        <v>653</v>
      </c>
      <c r="Y554" s="2049" t="s">
        <v>1147</v>
      </c>
    </row>
    <row r="555" spans="2:25" x14ac:dyDescent="0.25">
      <c r="B555" s="2046"/>
      <c r="C555" s="2041"/>
      <c r="D555" s="2041"/>
      <c r="E555" s="2041"/>
      <c r="F555" s="2041"/>
      <c r="G555" s="2041"/>
      <c r="H555" s="2041"/>
      <c r="I555" s="2041"/>
      <c r="J555" s="2052"/>
      <c r="K555" s="2051" t="s">
        <v>114</v>
      </c>
      <c r="L555" s="2038"/>
      <c r="M555" s="2051" t="s">
        <v>115</v>
      </c>
      <c r="N555" s="2038"/>
      <c r="O555" s="2051" t="s">
        <v>116</v>
      </c>
      <c r="P555" s="2038"/>
      <c r="Q555" s="2051" t="s">
        <v>117</v>
      </c>
      <c r="R555" s="2038"/>
      <c r="S555" s="2051" t="s">
        <v>118</v>
      </c>
      <c r="T555" s="2038"/>
      <c r="U555" s="2051" t="s">
        <v>119</v>
      </c>
      <c r="V555" s="2038"/>
      <c r="W555" s="2052" t="s">
        <v>968</v>
      </c>
      <c r="X555" s="2041"/>
      <c r="Y555" s="2050"/>
    </row>
    <row r="556" spans="2:25" x14ac:dyDescent="0.25">
      <c r="B556" s="2046"/>
      <c r="C556" s="2041"/>
      <c r="D556" s="2041"/>
      <c r="E556" s="2041"/>
      <c r="F556" s="2041"/>
      <c r="G556" s="2041"/>
      <c r="H556" s="2041"/>
      <c r="I556" s="2041"/>
      <c r="J556" s="2052"/>
      <c r="K556" s="1263" t="s">
        <v>9</v>
      </c>
      <c r="L556" s="1503" t="s">
        <v>3107</v>
      </c>
      <c r="M556" s="1263" t="s">
        <v>9</v>
      </c>
      <c r="N556" s="1503" t="s">
        <v>1355</v>
      </c>
      <c r="O556" s="1263" t="s">
        <v>9</v>
      </c>
      <c r="P556" s="1503" t="s">
        <v>1355</v>
      </c>
      <c r="Q556" s="1263" t="s">
        <v>9</v>
      </c>
      <c r="R556" s="1503" t="s">
        <v>1355</v>
      </c>
      <c r="S556" s="1263" t="s">
        <v>9</v>
      </c>
      <c r="T556" s="1503" t="s">
        <v>1355</v>
      </c>
      <c r="U556" s="1263" t="s">
        <v>9</v>
      </c>
      <c r="V556" s="1503" t="s">
        <v>1355</v>
      </c>
      <c r="W556" s="2052"/>
      <c r="X556" s="2041"/>
      <c r="Y556" s="2050"/>
    </row>
    <row r="557" spans="2:25" ht="51" customHeight="1" x14ac:dyDescent="0.25">
      <c r="B557" s="2092" t="s">
        <v>283</v>
      </c>
      <c r="C557" s="2042" t="s">
        <v>284</v>
      </c>
      <c r="D557" s="2042" t="s">
        <v>3830</v>
      </c>
      <c r="E557" s="2042" t="s">
        <v>3914</v>
      </c>
      <c r="F557" s="1348" t="s">
        <v>285</v>
      </c>
      <c r="G557" s="1633" t="s">
        <v>3142</v>
      </c>
      <c r="H557" s="1320"/>
      <c r="I557" s="1488" t="s">
        <v>19</v>
      </c>
      <c r="J557" s="1634">
        <v>9.06</v>
      </c>
      <c r="K557" s="1546">
        <v>10.049859946281893</v>
      </c>
      <c r="L557" s="1635"/>
      <c r="M557" s="1546">
        <v>11.247764278539739</v>
      </c>
      <c r="N557" s="1635"/>
      <c r="O557" s="1546">
        <v>12.7008576168957</v>
      </c>
      <c r="P557" s="1635"/>
      <c r="Q557" s="1546">
        <v>14.468600319575774</v>
      </c>
      <c r="R557" s="1635"/>
      <c r="S557" s="1546">
        <v>16.626973493634427</v>
      </c>
      <c r="T557" s="1635"/>
      <c r="U557" s="1546">
        <v>19.273485465800423</v>
      </c>
      <c r="V557" s="1635"/>
      <c r="W557" s="1636">
        <v>16.626973493634427</v>
      </c>
      <c r="X557" s="1637"/>
      <c r="Y557" s="1638" t="s">
        <v>1150</v>
      </c>
    </row>
    <row r="558" spans="2:25" ht="89.25" x14ac:dyDescent="0.25">
      <c r="B558" s="2093"/>
      <c r="C558" s="2043"/>
      <c r="D558" s="2043"/>
      <c r="E558" s="2043"/>
      <c r="F558" s="1547"/>
      <c r="G558" s="1489" t="s">
        <v>288</v>
      </c>
      <c r="H558" s="1489" t="s">
        <v>287</v>
      </c>
      <c r="I558" s="1488" t="s">
        <v>19</v>
      </c>
      <c r="J558" s="1548">
        <v>50</v>
      </c>
      <c r="K558" s="1548">
        <v>11</v>
      </c>
      <c r="L558" s="1344">
        <f>SUM(L559:L573)</f>
        <v>560000</v>
      </c>
      <c r="M558" s="1548">
        <v>15</v>
      </c>
      <c r="N558" s="1344">
        <f>SUM(N559:N573)</f>
        <v>750000</v>
      </c>
      <c r="O558" s="1548">
        <v>15</v>
      </c>
      <c r="P558" s="1344">
        <f>SUM(P559:P573)</f>
        <v>1020000</v>
      </c>
      <c r="Q558" s="1548">
        <v>15</v>
      </c>
      <c r="R558" s="1344">
        <f>SUM(R559:R573)</f>
        <v>1115000</v>
      </c>
      <c r="S558" s="1548">
        <v>15</v>
      </c>
      <c r="T558" s="1344">
        <f>SUM(T559:T573)</f>
        <v>1205000</v>
      </c>
      <c r="U558" s="1548">
        <v>15</v>
      </c>
      <c r="V558" s="1344">
        <f>SUM(V559:V573)</f>
        <v>1205000</v>
      </c>
      <c r="W558" s="1344">
        <v>71</v>
      </c>
      <c r="X558" s="1488"/>
      <c r="Y558" s="1638" t="s">
        <v>1150</v>
      </c>
    </row>
    <row r="559" spans="2:25" ht="25.5" x14ac:dyDescent="0.25">
      <c r="B559" s="2093"/>
      <c r="C559" s="1322"/>
      <c r="D559" s="1322"/>
      <c r="E559" s="1322"/>
      <c r="F559" s="1322"/>
      <c r="G559" s="1320" t="s">
        <v>289</v>
      </c>
      <c r="H559" s="2084" t="s">
        <v>290</v>
      </c>
      <c r="I559" s="2058" t="s">
        <v>291</v>
      </c>
      <c r="J559" s="1323">
        <v>400</v>
      </c>
      <c r="K559" s="1324">
        <v>400</v>
      </c>
      <c r="L559" s="1325">
        <v>290000</v>
      </c>
      <c r="M559" s="1324">
        <v>400</v>
      </c>
      <c r="N559" s="1326">
        <v>290000</v>
      </c>
      <c r="O559" s="1324">
        <v>400</v>
      </c>
      <c r="P559" s="1326">
        <v>360000</v>
      </c>
      <c r="Q559" s="1324">
        <v>400</v>
      </c>
      <c r="R559" s="1327">
        <v>385000</v>
      </c>
      <c r="S559" s="1324">
        <v>400</v>
      </c>
      <c r="T559" s="1327">
        <v>410000</v>
      </c>
      <c r="U559" s="1324">
        <v>400</v>
      </c>
      <c r="V559" s="1327">
        <v>410000</v>
      </c>
      <c r="W559" s="1352">
        <v>2400</v>
      </c>
      <c r="X559" s="2058"/>
      <c r="Y559" s="1638" t="s">
        <v>1150</v>
      </c>
    </row>
    <row r="560" spans="2:25" x14ac:dyDescent="0.25">
      <c r="B560" s="2093"/>
      <c r="C560" s="1322"/>
      <c r="D560" s="1322"/>
      <c r="E560" s="1322"/>
      <c r="F560" s="1322"/>
      <c r="G560" s="1322"/>
      <c r="H560" s="2084"/>
      <c r="I560" s="2058"/>
      <c r="J560" s="1328"/>
      <c r="K560" s="1329"/>
      <c r="L560" s="1330"/>
      <c r="M560" s="1329"/>
      <c r="N560" s="1331">
        <v>0</v>
      </c>
      <c r="O560" s="1329"/>
      <c r="P560" s="1331">
        <v>0</v>
      </c>
      <c r="Q560" s="1329"/>
      <c r="R560" s="1332">
        <v>0</v>
      </c>
      <c r="S560" s="1329"/>
      <c r="T560" s="1332">
        <v>0</v>
      </c>
      <c r="U560" s="1329"/>
      <c r="V560" s="1332">
        <v>0</v>
      </c>
      <c r="W560" s="1639"/>
      <c r="X560" s="2058"/>
      <c r="Y560" s="1638" t="s">
        <v>1150</v>
      </c>
    </row>
    <row r="561" spans="2:25" ht="51" x14ac:dyDescent="0.25">
      <c r="B561" s="2093"/>
      <c r="C561" s="1322"/>
      <c r="D561" s="1322"/>
      <c r="E561" s="1322"/>
      <c r="F561" s="1322"/>
      <c r="G561" s="1322"/>
      <c r="H561" s="1489" t="s">
        <v>292</v>
      </c>
      <c r="I561" s="1488" t="s">
        <v>293</v>
      </c>
      <c r="J561" s="1333">
        <v>0</v>
      </c>
      <c r="K561" s="1333">
        <v>14</v>
      </c>
      <c r="L561" s="1334"/>
      <c r="M561" s="1333">
        <v>14</v>
      </c>
      <c r="N561" s="1335">
        <v>0</v>
      </c>
      <c r="O561" s="1333">
        <v>14</v>
      </c>
      <c r="P561" s="1335">
        <v>0</v>
      </c>
      <c r="Q561" s="1333">
        <v>14</v>
      </c>
      <c r="R561" s="1336">
        <v>0</v>
      </c>
      <c r="S561" s="1333">
        <v>14</v>
      </c>
      <c r="T561" s="1336">
        <v>0</v>
      </c>
      <c r="U561" s="1333">
        <v>14</v>
      </c>
      <c r="V561" s="1336">
        <v>0</v>
      </c>
      <c r="W561" s="1344">
        <v>70</v>
      </c>
      <c r="X561" s="2058"/>
      <c r="Y561" s="1638" t="s">
        <v>1150</v>
      </c>
    </row>
    <row r="562" spans="2:25" ht="38.25" customHeight="1" x14ac:dyDescent="0.25">
      <c r="B562" s="2093"/>
      <c r="C562" s="1322"/>
      <c r="D562" s="1322"/>
      <c r="E562" s="1322"/>
      <c r="F562" s="1322"/>
      <c r="G562" s="1338"/>
      <c r="H562" s="1489" t="s">
        <v>314</v>
      </c>
      <c r="I562" s="1488" t="s">
        <v>303</v>
      </c>
      <c r="J562" s="1333">
        <v>1</v>
      </c>
      <c r="K562" s="1333">
        <v>1</v>
      </c>
      <c r="L562" s="1339"/>
      <c r="M562" s="1333">
        <v>3</v>
      </c>
      <c r="N562" s="1340"/>
      <c r="O562" s="1333">
        <v>3</v>
      </c>
      <c r="P562" s="1340"/>
      <c r="Q562" s="1333">
        <v>3</v>
      </c>
      <c r="R562" s="1340"/>
      <c r="S562" s="1333">
        <v>3</v>
      </c>
      <c r="T562" s="1340"/>
      <c r="U562" s="1333">
        <v>3</v>
      </c>
      <c r="V562" s="1340"/>
      <c r="W562" s="1344">
        <v>13</v>
      </c>
      <c r="X562" s="1488"/>
      <c r="Y562" s="1638" t="s">
        <v>1150</v>
      </c>
    </row>
    <row r="563" spans="2:25" ht="102" x14ac:dyDescent="0.25">
      <c r="B563" s="2093"/>
      <c r="C563" s="1322"/>
      <c r="D563" s="1322"/>
      <c r="E563" s="1322"/>
      <c r="F563" s="1322"/>
      <c r="G563" s="1320" t="s">
        <v>294</v>
      </c>
      <c r="H563" s="1489" t="s">
        <v>295</v>
      </c>
      <c r="I563" s="1488" t="s">
        <v>296</v>
      </c>
      <c r="J563" s="1333">
        <v>50</v>
      </c>
      <c r="K563" s="1333">
        <v>10</v>
      </c>
      <c r="L563" s="1339">
        <v>65000</v>
      </c>
      <c r="M563" s="1333">
        <v>10</v>
      </c>
      <c r="N563" s="1340">
        <v>65000</v>
      </c>
      <c r="O563" s="1333">
        <v>10</v>
      </c>
      <c r="P563" s="1340">
        <v>100000</v>
      </c>
      <c r="Q563" s="1333">
        <v>10</v>
      </c>
      <c r="R563" s="1340">
        <v>110000</v>
      </c>
      <c r="S563" s="1333">
        <v>10</v>
      </c>
      <c r="T563" s="1340">
        <v>120000</v>
      </c>
      <c r="U563" s="1333">
        <v>10</v>
      </c>
      <c r="V563" s="1340">
        <v>120000</v>
      </c>
      <c r="W563" s="1344">
        <v>50</v>
      </c>
      <c r="X563" s="1488"/>
      <c r="Y563" s="1638" t="s">
        <v>1150</v>
      </c>
    </row>
    <row r="564" spans="2:25" ht="51" x14ac:dyDescent="0.25">
      <c r="B564" s="1321"/>
      <c r="C564" s="1322"/>
      <c r="D564" s="1322"/>
      <c r="E564" s="1322"/>
      <c r="F564" s="1322"/>
      <c r="G564" s="1341"/>
      <c r="H564" s="1489" t="s">
        <v>286</v>
      </c>
      <c r="I564" s="1488" t="s">
        <v>100</v>
      </c>
      <c r="J564" s="1333">
        <v>60</v>
      </c>
      <c r="K564" s="1333">
        <v>45</v>
      </c>
      <c r="L564" s="1339"/>
      <c r="M564" s="1333">
        <v>70</v>
      </c>
      <c r="N564" s="1340"/>
      <c r="O564" s="1342">
        <v>70</v>
      </c>
      <c r="P564" s="1340"/>
      <c r="Q564" s="1343">
        <v>70</v>
      </c>
      <c r="R564" s="1340"/>
      <c r="S564" s="1343">
        <v>70</v>
      </c>
      <c r="T564" s="1340"/>
      <c r="U564" s="1343">
        <v>70</v>
      </c>
      <c r="V564" s="1340"/>
      <c r="W564" s="1344">
        <v>325</v>
      </c>
      <c r="X564" s="1488"/>
      <c r="Y564" s="1638" t="s">
        <v>1150</v>
      </c>
    </row>
    <row r="565" spans="2:25" ht="51" x14ac:dyDescent="0.25">
      <c r="B565" s="1321"/>
      <c r="C565" s="1322"/>
      <c r="D565" s="1322"/>
      <c r="E565" s="1322"/>
      <c r="F565" s="1322"/>
      <c r="G565" s="2084" t="s">
        <v>297</v>
      </c>
      <c r="H565" s="1489" t="s">
        <v>298</v>
      </c>
      <c r="I565" s="1488" t="s">
        <v>265</v>
      </c>
      <c r="J565" s="1333">
        <v>0</v>
      </c>
      <c r="K565" s="1333">
        <v>1</v>
      </c>
      <c r="L565" s="1325">
        <v>25000</v>
      </c>
      <c r="M565" s="1333">
        <v>5</v>
      </c>
      <c r="N565" s="1327">
        <v>75000</v>
      </c>
      <c r="O565" s="1342">
        <v>5</v>
      </c>
      <c r="P565" s="1327">
        <v>110000</v>
      </c>
      <c r="Q565" s="1342">
        <v>5</v>
      </c>
      <c r="R565" s="1327">
        <v>120000</v>
      </c>
      <c r="S565" s="1342">
        <v>5</v>
      </c>
      <c r="T565" s="1327">
        <v>130000</v>
      </c>
      <c r="U565" s="1342">
        <v>5</v>
      </c>
      <c r="V565" s="1327">
        <v>130000</v>
      </c>
      <c r="W565" s="1344">
        <v>21</v>
      </c>
      <c r="X565" s="2058"/>
      <c r="Y565" s="1638" t="s">
        <v>1150</v>
      </c>
    </row>
    <row r="566" spans="2:25" ht="51" x14ac:dyDescent="0.25">
      <c r="B566" s="1321"/>
      <c r="C566" s="1322"/>
      <c r="D566" s="1322"/>
      <c r="E566" s="1322"/>
      <c r="F566" s="1322"/>
      <c r="G566" s="2084"/>
      <c r="H566" s="1489" t="s">
        <v>299</v>
      </c>
      <c r="I566" s="1488" t="s">
        <v>293</v>
      </c>
      <c r="J566" s="1333">
        <v>0</v>
      </c>
      <c r="K566" s="1342">
        <v>0</v>
      </c>
      <c r="L566" s="1334">
        <v>0</v>
      </c>
      <c r="M566" s="1333">
        <v>1</v>
      </c>
      <c r="N566" s="1336">
        <v>0</v>
      </c>
      <c r="O566" s="1333">
        <v>1</v>
      </c>
      <c r="P566" s="1336">
        <v>0</v>
      </c>
      <c r="Q566" s="1333">
        <v>1</v>
      </c>
      <c r="R566" s="1336">
        <v>0</v>
      </c>
      <c r="S566" s="1333">
        <v>1</v>
      </c>
      <c r="T566" s="1336">
        <v>0</v>
      </c>
      <c r="U566" s="1333">
        <v>1</v>
      </c>
      <c r="V566" s="1336">
        <v>0</v>
      </c>
      <c r="W566" s="1344">
        <v>4</v>
      </c>
      <c r="X566" s="2058"/>
      <c r="Y566" s="1638" t="s">
        <v>1150</v>
      </c>
    </row>
    <row r="567" spans="2:25" ht="25.5" x14ac:dyDescent="0.25">
      <c r="B567" s="1321"/>
      <c r="C567" s="1322"/>
      <c r="D567" s="1322"/>
      <c r="E567" s="1322"/>
      <c r="F567" s="1322"/>
      <c r="G567" s="1320" t="s">
        <v>300</v>
      </c>
      <c r="H567" s="1489" t="s">
        <v>301</v>
      </c>
      <c r="I567" s="1488" t="s">
        <v>293</v>
      </c>
      <c r="J567" s="1333">
        <v>0</v>
      </c>
      <c r="K567" s="1333">
        <v>1</v>
      </c>
      <c r="L567" s="1325">
        <v>30000</v>
      </c>
      <c r="M567" s="1333">
        <v>1</v>
      </c>
      <c r="N567" s="1327">
        <v>100000</v>
      </c>
      <c r="O567" s="1333">
        <v>4</v>
      </c>
      <c r="P567" s="1327">
        <v>125000</v>
      </c>
      <c r="Q567" s="1333">
        <v>4</v>
      </c>
      <c r="R567" s="1327">
        <v>150000</v>
      </c>
      <c r="S567" s="1333">
        <v>4</v>
      </c>
      <c r="T567" s="1327">
        <v>165000</v>
      </c>
      <c r="U567" s="1333">
        <v>4</v>
      </c>
      <c r="V567" s="1327">
        <v>165000</v>
      </c>
      <c r="W567" s="1344">
        <v>14</v>
      </c>
      <c r="X567" s="2058"/>
      <c r="Y567" s="1638" t="s">
        <v>1150</v>
      </c>
    </row>
    <row r="568" spans="2:25" ht="38.25" x14ac:dyDescent="0.25">
      <c r="B568" s="1321"/>
      <c r="C568" s="1322"/>
      <c r="D568" s="1322"/>
      <c r="E568" s="1322"/>
      <c r="F568" s="1322"/>
      <c r="G568" s="1322"/>
      <c r="H568" s="1489" t="s">
        <v>302</v>
      </c>
      <c r="I568" s="1488" t="s">
        <v>303</v>
      </c>
      <c r="J568" s="1333">
        <v>0</v>
      </c>
      <c r="K568" s="1333">
        <v>52</v>
      </c>
      <c r="L568" s="1330">
        <v>0</v>
      </c>
      <c r="M568" s="1333">
        <v>52</v>
      </c>
      <c r="N568" s="1332">
        <v>0</v>
      </c>
      <c r="O568" s="1333">
        <v>52</v>
      </c>
      <c r="P568" s="1332">
        <v>0</v>
      </c>
      <c r="Q568" s="1333">
        <v>52</v>
      </c>
      <c r="R568" s="1332">
        <v>0</v>
      </c>
      <c r="S568" s="1333">
        <v>52</v>
      </c>
      <c r="T568" s="1332">
        <v>0</v>
      </c>
      <c r="U568" s="1333">
        <v>52</v>
      </c>
      <c r="V568" s="1332">
        <v>0</v>
      </c>
      <c r="W568" s="1344">
        <v>260</v>
      </c>
      <c r="X568" s="2058"/>
      <c r="Y568" s="1638" t="s">
        <v>1150</v>
      </c>
    </row>
    <row r="569" spans="2:25" ht="153" x14ac:dyDescent="0.25">
      <c r="B569" s="1321"/>
      <c r="C569" s="1322"/>
      <c r="D569" s="1322"/>
      <c r="E569" s="1322"/>
      <c r="F569" s="1322"/>
      <c r="G569" s="1338"/>
      <c r="H569" s="1489" t="s">
        <v>304</v>
      </c>
      <c r="I569" s="1488" t="s">
        <v>293</v>
      </c>
      <c r="J569" s="1333">
        <v>0</v>
      </c>
      <c r="K569" s="1333">
        <v>0</v>
      </c>
      <c r="L569" s="1334">
        <v>0</v>
      </c>
      <c r="M569" s="1333">
        <v>1</v>
      </c>
      <c r="N569" s="1336">
        <v>0</v>
      </c>
      <c r="O569" s="1333">
        <v>1</v>
      </c>
      <c r="P569" s="1336">
        <v>0</v>
      </c>
      <c r="Q569" s="1333">
        <v>1</v>
      </c>
      <c r="R569" s="1336">
        <v>0</v>
      </c>
      <c r="S569" s="1333">
        <v>1</v>
      </c>
      <c r="T569" s="1336">
        <v>0</v>
      </c>
      <c r="U569" s="1333">
        <v>1</v>
      </c>
      <c r="V569" s="1336">
        <v>0</v>
      </c>
      <c r="W569" s="1344">
        <v>4</v>
      </c>
      <c r="X569" s="2058"/>
      <c r="Y569" s="1638" t="s">
        <v>1150</v>
      </c>
    </row>
    <row r="570" spans="2:25" ht="51" x14ac:dyDescent="0.25">
      <c r="B570" s="1321"/>
      <c r="C570" s="1322"/>
      <c r="D570" s="1322"/>
      <c r="E570" s="1322"/>
      <c r="F570" s="1322"/>
      <c r="G570" s="1320" t="s">
        <v>305</v>
      </c>
      <c r="H570" s="1489" t="s">
        <v>306</v>
      </c>
      <c r="I570" s="1488" t="s">
        <v>307</v>
      </c>
      <c r="J570" s="1333"/>
      <c r="K570" s="1333">
        <v>1350</v>
      </c>
      <c r="L570" s="1325">
        <v>150000</v>
      </c>
      <c r="M570" s="1333">
        <v>2200</v>
      </c>
      <c r="N570" s="1327">
        <v>200000</v>
      </c>
      <c r="O570" s="1333">
        <v>2700</v>
      </c>
      <c r="P570" s="1327">
        <v>265000</v>
      </c>
      <c r="Q570" s="1333">
        <v>2700</v>
      </c>
      <c r="R570" s="1327">
        <v>270000</v>
      </c>
      <c r="S570" s="1333">
        <v>2700</v>
      </c>
      <c r="T570" s="1327">
        <v>280000</v>
      </c>
      <c r="U570" s="1333">
        <v>2700</v>
      </c>
      <c r="V570" s="1327">
        <v>280000</v>
      </c>
      <c r="W570" s="1344"/>
      <c r="X570" s="2058"/>
      <c r="Y570" s="1638" t="s">
        <v>1150</v>
      </c>
    </row>
    <row r="571" spans="2:25" ht="76.5" x14ac:dyDescent="0.25">
      <c r="B571" s="1321"/>
      <c r="C571" s="1322"/>
      <c r="D571" s="1322"/>
      <c r="E571" s="1322"/>
      <c r="F571" s="1322"/>
      <c r="G571" s="1338"/>
      <c r="H571" s="1489" t="s">
        <v>308</v>
      </c>
      <c r="I571" s="1488" t="s">
        <v>293</v>
      </c>
      <c r="J571" s="1333"/>
      <c r="K571" s="1333">
        <v>0</v>
      </c>
      <c r="L571" s="1334">
        <v>0</v>
      </c>
      <c r="M571" s="1333">
        <v>1</v>
      </c>
      <c r="N571" s="1336">
        <v>0</v>
      </c>
      <c r="O571" s="1333">
        <v>1</v>
      </c>
      <c r="P571" s="1336">
        <v>0</v>
      </c>
      <c r="Q571" s="1333">
        <v>1</v>
      </c>
      <c r="R571" s="1336">
        <v>0</v>
      </c>
      <c r="S571" s="1333">
        <v>1</v>
      </c>
      <c r="T571" s="1336">
        <v>0</v>
      </c>
      <c r="U571" s="1333">
        <v>1</v>
      </c>
      <c r="V571" s="1336">
        <v>0</v>
      </c>
      <c r="W571" s="1344">
        <v>4</v>
      </c>
      <c r="X571" s="2058"/>
      <c r="Y571" s="1638" t="s">
        <v>1150</v>
      </c>
    </row>
    <row r="572" spans="2:25" ht="38.25" x14ac:dyDescent="0.25">
      <c r="B572" s="1321"/>
      <c r="C572" s="1322"/>
      <c r="D572" s="1322"/>
      <c r="E572" s="1322"/>
      <c r="F572" s="1322"/>
      <c r="G572" s="1320" t="s">
        <v>309</v>
      </c>
      <c r="H572" s="1489" t="s">
        <v>310</v>
      </c>
      <c r="I572" s="1488" t="s">
        <v>311</v>
      </c>
      <c r="J572" s="1333">
        <v>0</v>
      </c>
      <c r="K572" s="1344">
        <v>0</v>
      </c>
      <c r="L572" s="1344">
        <v>0</v>
      </c>
      <c r="M572" s="1344">
        <v>10</v>
      </c>
      <c r="N572" s="1345">
        <v>20000</v>
      </c>
      <c r="O572" s="1344">
        <v>10</v>
      </c>
      <c r="P572" s="1345">
        <v>60000</v>
      </c>
      <c r="Q572" s="1344">
        <v>10</v>
      </c>
      <c r="R572" s="1327">
        <v>80000</v>
      </c>
      <c r="S572" s="1342">
        <v>10</v>
      </c>
      <c r="T572" s="1327">
        <v>100000</v>
      </c>
      <c r="U572" s="1342">
        <v>10</v>
      </c>
      <c r="V572" s="1327">
        <v>100000</v>
      </c>
      <c r="W572" s="1344">
        <v>40</v>
      </c>
      <c r="X572" s="2058"/>
      <c r="Y572" s="1638" t="s">
        <v>1150</v>
      </c>
    </row>
    <row r="573" spans="2:25" ht="51" x14ac:dyDescent="0.25">
      <c r="B573" s="1337"/>
      <c r="C573" s="1338"/>
      <c r="D573" s="1338"/>
      <c r="E573" s="1338"/>
      <c r="F573" s="1338"/>
      <c r="G573" s="1338"/>
      <c r="H573" s="1489" t="s">
        <v>312</v>
      </c>
      <c r="I573" s="1488" t="s">
        <v>282</v>
      </c>
      <c r="J573" s="1333">
        <v>0</v>
      </c>
      <c r="K573" s="1344">
        <v>0</v>
      </c>
      <c r="L573" s="1344">
        <v>0</v>
      </c>
      <c r="M573" s="1344" t="s">
        <v>313</v>
      </c>
      <c r="N573" s="1346">
        <v>0</v>
      </c>
      <c r="O573" s="1344">
        <v>1</v>
      </c>
      <c r="P573" s="1346">
        <v>0</v>
      </c>
      <c r="Q573" s="1344">
        <v>1</v>
      </c>
      <c r="R573" s="1336">
        <v>0</v>
      </c>
      <c r="S573" s="1342">
        <v>1</v>
      </c>
      <c r="T573" s="1336">
        <v>0</v>
      </c>
      <c r="U573" s="1342">
        <v>1</v>
      </c>
      <c r="V573" s="1336">
        <v>0</v>
      </c>
      <c r="W573" s="1344">
        <v>4</v>
      </c>
      <c r="X573" s="2058"/>
      <c r="Y573" s="1638" t="s">
        <v>1150</v>
      </c>
    </row>
    <row r="574" spans="2:25" x14ac:dyDescent="0.25">
      <c r="B574" s="1321"/>
      <c r="C574" s="1322"/>
      <c r="D574" s="1322"/>
      <c r="E574" s="1322"/>
      <c r="F574" s="1322"/>
      <c r="G574" s="1338"/>
      <c r="H574" s="1347"/>
      <c r="I574" s="1488"/>
      <c r="J574" s="1333"/>
      <c r="K574" s="1344"/>
      <c r="L574" s="1344"/>
      <c r="M574" s="1344"/>
      <c r="N574" s="1346"/>
      <c r="O574" s="1344"/>
      <c r="P574" s="1346"/>
      <c r="Q574" s="1344"/>
      <c r="R574" s="1336"/>
      <c r="S574" s="1342"/>
      <c r="T574" s="1336"/>
      <c r="U574" s="1342"/>
      <c r="V574" s="1336"/>
      <c r="W574" s="1344"/>
      <c r="X574" s="1488"/>
      <c r="Y574" s="1638"/>
    </row>
    <row r="575" spans="2:25" ht="38.25" x14ac:dyDescent="0.25">
      <c r="B575" s="2092" t="s">
        <v>33</v>
      </c>
      <c r="C575" s="2042" t="s">
        <v>34</v>
      </c>
      <c r="D575" s="2042" t="s">
        <v>3831</v>
      </c>
      <c r="E575" s="2042" t="s">
        <v>3832</v>
      </c>
      <c r="F575" s="2042" t="s">
        <v>3913</v>
      </c>
      <c r="G575" s="173" t="s">
        <v>3133</v>
      </c>
      <c r="H575" s="1320" t="s">
        <v>35</v>
      </c>
      <c r="I575" s="1488" t="s">
        <v>19</v>
      </c>
      <c r="J575" s="1342">
        <v>90</v>
      </c>
      <c r="K575" s="1342">
        <v>91</v>
      </c>
      <c r="L575" s="1340"/>
      <c r="M575" s="1342">
        <v>92</v>
      </c>
      <c r="N575" s="1340"/>
      <c r="O575" s="1342">
        <v>93</v>
      </c>
      <c r="P575" s="1340"/>
      <c r="Q575" s="1342">
        <v>94</v>
      </c>
      <c r="R575" s="1340"/>
      <c r="S575" s="1342">
        <v>95</v>
      </c>
      <c r="T575" s="1340"/>
      <c r="U575" s="1342">
        <v>96</v>
      </c>
      <c r="V575" s="1340"/>
      <c r="W575" s="1342">
        <f>U575</f>
        <v>96</v>
      </c>
      <c r="X575" s="1348"/>
      <c r="Y575" s="1638" t="s">
        <v>1150</v>
      </c>
    </row>
    <row r="576" spans="2:25" ht="63.75" x14ac:dyDescent="0.25">
      <c r="B576" s="2093"/>
      <c r="C576" s="2043"/>
      <c r="D576" s="2043"/>
      <c r="E576" s="2043"/>
      <c r="F576" s="2043"/>
      <c r="G576" s="1348" t="s">
        <v>36</v>
      </c>
      <c r="H576" s="1348" t="s">
        <v>386</v>
      </c>
      <c r="I576" s="1488" t="s">
        <v>19</v>
      </c>
      <c r="J576" s="1344">
        <v>100</v>
      </c>
      <c r="K576" s="1549">
        <v>20</v>
      </c>
      <c r="L576" s="1344">
        <f>SUM(L577:L589)</f>
        <v>399342</v>
      </c>
      <c r="M576" s="1549">
        <v>20</v>
      </c>
      <c r="N576" s="1344">
        <f>SUM(N577:N589)</f>
        <v>521746</v>
      </c>
      <c r="O576" s="1549">
        <v>15</v>
      </c>
      <c r="P576" s="1344">
        <f>SUM(P577:P589)</f>
        <v>606000</v>
      </c>
      <c r="Q576" s="1549">
        <v>15</v>
      </c>
      <c r="R576" s="1344">
        <f>SUM(R577:R589)</f>
        <v>666750</v>
      </c>
      <c r="S576" s="1549">
        <v>15</v>
      </c>
      <c r="T576" s="1344">
        <f>SUM(T577:T589)</f>
        <v>728500</v>
      </c>
      <c r="U576" s="1549">
        <v>15</v>
      </c>
      <c r="V576" s="1344">
        <f>SUM(V577:V589)</f>
        <v>745000</v>
      </c>
      <c r="W576" s="1549">
        <v>100</v>
      </c>
      <c r="X576" s="1489"/>
      <c r="Y576" s="1638" t="s">
        <v>1150</v>
      </c>
    </row>
    <row r="577" spans="2:25" ht="114.75" x14ac:dyDescent="0.25">
      <c r="B577" s="2093"/>
      <c r="C577" s="1322"/>
      <c r="D577" s="1322"/>
      <c r="E577" s="1322"/>
      <c r="F577" s="1322"/>
      <c r="G577" s="1348" t="s">
        <v>124</v>
      </c>
      <c r="H577" s="1348" t="s">
        <v>235</v>
      </c>
      <c r="I577" s="1488" t="s">
        <v>236</v>
      </c>
      <c r="J577" s="1333"/>
      <c r="K577" s="1342">
        <v>12</v>
      </c>
      <c r="L577" s="1339">
        <v>3000</v>
      </c>
      <c r="M577" s="1342">
        <v>12</v>
      </c>
      <c r="N577" s="1349">
        <v>3000</v>
      </c>
      <c r="O577" s="1342">
        <v>12</v>
      </c>
      <c r="P577" s="1340">
        <v>3500</v>
      </c>
      <c r="Q577" s="1342">
        <v>12</v>
      </c>
      <c r="R577" s="1340">
        <v>3750</v>
      </c>
      <c r="S577" s="1343">
        <v>12</v>
      </c>
      <c r="T577" s="1340">
        <v>4000</v>
      </c>
      <c r="U577" s="1343">
        <v>12</v>
      </c>
      <c r="V577" s="1340">
        <v>4000</v>
      </c>
      <c r="W577" s="1344">
        <v>60</v>
      </c>
      <c r="X577" s="1489"/>
      <c r="Y577" s="1638" t="s">
        <v>1150</v>
      </c>
    </row>
    <row r="578" spans="2:25" ht="51" x14ac:dyDescent="0.25">
      <c r="B578" s="2093"/>
      <c r="C578" s="1322"/>
      <c r="D578" s="1322"/>
      <c r="E578" s="1322"/>
      <c r="F578" s="1322"/>
      <c r="G578" s="1348" t="s">
        <v>126</v>
      </c>
      <c r="H578" s="1348" t="s">
        <v>237</v>
      </c>
      <c r="I578" s="1488" t="s">
        <v>236</v>
      </c>
      <c r="J578" s="1333"/>
      <c r="K578" s="1342">
        <v>12</v>
      </c>
      <c r="L578" s="1339">
        <v>126000</v>
      </c>
      <c r="M578" s="1342">
        <v>12</v>
      </c>
      <c r="N578" s="1340">
        <v>160746</v>
      </c>
      <c r="O578" s="1342">
        <v>12</v>
      </c>
      <c r="P578" s="1340">
        <v>170000</v>
      </c>
      <c r="Q578" s="1342">
        <v>12</v>
      </c>
      <c r="R578" s="1340">
        <v>180000</v>
      </c>
      <c r="S578" s="1342">
        <v>12</v>
      </c>
      <c r="T578" s="1340">
        <v>190000</v>
      </c>
      <c r="U578" s="1342">
        <v>12</v>
      </c>
      <c r="V578" s="1340">
        <v>190000</v>
      </c>
      <c r="W578" s="1344">
        <v>60</v>
      </c>
      <c r="X578" s="1489"/>
      <c r="Y578" s="1638" t="s">
        <v>1150</v>
      </c>
    </row>
    <row r="579" spans="2:25" ht="114.75" x14ac:dyDescent="0.25">
      <c r="B579" s="2093"/>
      <c r="C579" s="1322"/>
      <c r="D579" s="1322"/>
      <c r="E579" s="1322"/>
      <c r="F579" s="1322"/>
      <c r="G579" s="1348" t="s">
        <v>43</v>
      </c>
      <c r="H579" s="1348" t="s">
        <v>238</v>
      </c>
      <c r="I579" s="1488" t="s">
        <v>236</v>
      </c>
      <c r="J579" s="1333"/>
      <c r="K579" s="1342">
        <v>12</v>
      </c>
      <c r="L579" s="1339">
        <v>20000</v>
      </c>
      <c r="M579" s="1342">
        <v>12</v>
      </c>
      <c r="N579" s="1340">
        <v>22000</v>
      </c>
      <c r="O579" s="1342">
        <v>12</v>
      </c>
      <c r="P579" s="1340">
        <v>25000</v>
      </c>
      <c r="Q579" s="1342">
        <v>12</v>
      </c>
      <c r="R579" s="1340">
        <v>30000</v>
      </c>
      <c r="S579" s="1342">
        <v>12</v>
      </c>
      <c r="T579" s="1340">
        <v>35000</v>
      </c>
      <c r="U579" s="1342">
        <v>12</v>
      </c>
      <c r="V579" s="1340">
        <v>40000</v>
      </c>
      <c r="W579" s="1344">
        <v>60</v>
      </c>
      <c r="X579" s="1489"/>
      <c r="Y579" s="1638" t="s">
        <v>1150</v>
      </c>
    </row>
    <row r="580" spans="2:25" ht="255" x14ac:dyDescent="0.25">
      <c r="B580" s="2093"/>
      <c r="C580" s="1322"/>
      <c r="D580" s="1322"/>
      <c r="E580" s="1322"/>
      <c r="F580" s="1322"/>
      <c r="G580" s="1348" t="s">
        <v>45</v>
      </c>
      <c r="H580" s="1348" t="s">
        <v>239</v>
      </c>
      <c r="I580" s="1488" t="s">
        <v>236</v>
      </c>
      <c r="J580" s="1333"/>
      <c r="K580" s="1342">
        <v>12</v>
      </c>
      <c r="L580" s="1339">
        <v>20000</v>
      </c>
      <c r="M580" s="1333">
        <v>12</v>
      </c>
      <c r="N580" s="1340">
        <v>42000</v>
      </c>
      <c r="O580" s="1343">
        <v>12</v>
      </c>
      <c r="P580" s="1340">
        <v>45000</v>
      </c>
      <c r="Q580" s="1343">
        <v>12</v>
      </c>
      <c r="R580" s="1340">
        <v>50000</v>
      </c>
      <c r="S580" s="1343">
        <v>12</v>
      </c>
      <c r="T580" s="1340">
        <v>55000</v>
      </c>
      <c r="U580" s="1343">
        <v>12</v>
      </c>
      <c r="V580" s="1340">
        <v>60000</v>
      </c>
      <c r="W580" s="1344">
        <v>60</v>
      </c>
      <c r="X580" s="1489"/>
      <c r="Y580" s="1638" t="s">
        <v>1150</v>
      </c>
    </row>
    <row r="581" spans="2:25" ht="63.75" x14ac:dyDescent="0.25">
      <c r="B581" s="2093"/>
      <c r="C581" s="1322"/>
      <c r="D581" s="1322"/>
      <c r="E581" s="1322"/>
      <c r="F581" s="1322"/>
      <c r="G581" s="1348" t="s">
        <v>47</v>
      </c>
      <c r="H581" s="1348" t="s">
        <v>240</v>
      </c>
      <c r="I581" s="1488" t="s">
        <v>236</v>
      </c>
      <c r="J581" s="1333"/>
      <c r="K581" s="1342">
        <v>12</v>
      </c>
      <c r="L581" s="1339">
        <v>116342</v>
      </c>
      <c r="M581" s="1342">
        <v>12</v>
      </c>
      <c r="N581" s="1340">
        <v>142000</v>
      </c>
      <c r="O581" s="1342">
        <v>12</v>
      </c>
      <c r="P581" s="1340">
        <v>150000</v>
      </c>
      <c r="Q581" s="1342">
        <v>12</v>
      </c>
      <c r="R581" s="1340">
        <v>155000</v>
      </c>
      <c r="S581" s="1342">
        <v>12</v>
      </c>
      <c r="T581" s="1340">
        <v>165000</v>
      </c>
      <c r="U581" s="1342">
        <v>12</v>
      </c>
      <c r="V581" s="1340">
        <v>170000</v>
      </c>
      <c r="W581" s="1344">
        <v>60</v>
      </c>
      <c r="X581" s="1489"/>
      <c r="Y581" s="1638" t="s">
        <v>1150</v>
      </c>
    </row>
    <row r="582" spans="2:25" ht="102" x14ac:dyDescent="0.25">
      <c r="B582" s="2093"/>
      <c r="C582" s="1322"/>
      <c r="D582" s="1322"/>
      <c r="E582" s="1322"/>
      <c r="F582" s="1322"/>
      <c r="G582" s="1348" t="s">
        <v>130</v>
      </c>
      <c r="H582" s="1348" t="s">
        <v>241</v>
      </c>
      <c r="I582" s="1488" t="s">
        <v>236</v>
      </c>
      <c r="J582" s="1333"/>
      <c r="K582" s="1333">
        <v>12</v>
      </c>
      <c r="L582" s="1339">
        <v>10000</v>
      </c>
      <c r="M582" s="1342">
        <v>12</v>
      </c>
      <c r="N582" s="1340">
        <v>12000</v>
      </c>
      <c r="O582" s="1342">
        <v>12</v>
      </c>
      <c r="P582" s="1340">
        <v>30000</v>
      </c>
      <c r="Q582" s="1342">
        <v>12</v>
      </c>
      <c r="R582" s="1340">
        <v>40000</v>
      </c>
      <c r="S582" s="1342">
        <v>12</v>
      </c>
      <c r="T582" s="1340">
        <v>50000</v>
      </c>
      <c r="U582" s="1342">
        <v>12</v>
      </c>
      <c r="V582" s="1340">
        <v>50000</v>
      </c>
      <c r="W582" s="1344">
        <v>60</v>
      </c>
      <c r="X582" s="1489"/>
      <c r="Y582" s="1638" t="s">
        <v>1150</v>
      </c>
    </row>
    <row r="583" spans="2:25" ht="38.25" x14ac:dyDescent="0.25">
      <c r="B583" s="1321"/>
      <c r="C583" s="1322"/>
      <c r="D583" s="1322"/>
      <c r="E583" s="1322"/>
      <c r="F583" s="1322"/>
      <c r="G583" s="1348" t="s">
        <v>50</v>
      </c>
      <c r="H583" s="1489" t="s">
        <v>242</v>
      </c>
      <c r="I583" s="1488" t="s">
        <v>236</v>
      </c>
      <c r="J583" s="1333"/>
      <c r="K583" s="1342">
        <v>12</v>
      </c>
      <c r="L583" s="1339">
        <v>10000</v>
      </c>
      <c r="M583" s="1342">
        <v>12</v>
      </c>
      <c r="N583" s="1340">
        <v>12000</v>
      </c>
      <c r="O583" s="1342">
        <v>12</v>
      </c>
      <c r="P583" s="1340">
        <v>14000</v>
      </c>
      <c r="Q583" s="1342">
        <v>12</v>
      </c>
      <c r="R583" s="1340">
        <v>16000</v>
      </c>
      <c r="S583" s="1342">
        <v>12</v>
      </c>
      <c r="T583" s="1340">
        <v>18000</v>
      </c>
      <c r="U583" s="1342">
        <v>12</v>
      </c>
      <c r="V583" s="1340">
        <v>18000</v>
      </c>
      <c r="W583" s="1344">
        <v>60</v>
      </c>
      <c r="X583" s="1489"/>
      <c r="Y583" s="1638" t="s">
        <v>1150</v>
      </c>
    </row>
    <row r="584" spans="2:25" ht="63.75" x14ac:dyDescent="0.25">
      <c r="B584" s="1321"/>
      <c r="C584" s="1322"/>
      <c r="D584" s="1322"/>
      <c r="E584" s="1322"/>
      <c r="F584" s="1322"/>
      <c r="G584" s="1348" t="s">
        <v>52</v>
      </c>
      <c r="H584" s="1489" t="s">
        <v>243</v>
      </c>
      <c r="I584" s="1488" t="s">
        <v>236</v>
      </c>
      <c r="J584" s="1333"/>
      <c r="K584" s="1342">
        <v>12</v>
      </c>
      <c r="L584" s="1339">
        <v>12000</v>
      </c>
      <c r="M584" s="1342">
        <v>12</v>
      </c>
      <c r="N584" s="1340">
        <v>16000</v>
      </c>
      <c r="O584" s="1342">
        <v>12</v>
      </c>
      <c r="P584" s="1340">
        <v>18000</v>
      </c>
      <c r="Q584" s="1342">
        <v>12</v>
      </c>
      <c r="R584" s="1340">
        <v>22000</v>
      </c>
      <c r="S584" s="1342">
        <v>12</v>
      </c>
      <c r="T584" s="1340">
        <v>25000</v>
      </c>
      <c r="U584" s="1342">
        <v>12</v>
      </c>
      <c r="V584" s="1340">
        <v>25000</v>
      </c>
      <c r="W584" s="1344">
        <v>60</v>
      </c>
      <c r="X584" s="1489"/>
      <c r="Y584" s="1638" t="s">
        <v>1150</v>
      </c>
    </row>
    <row r="585" spans="2:25" ht="51" x14ac:dyDescent="0.25">
      <c r="B585" s="1321"/>
      <c r="C585" s="1322"/>
      <c r="D585" s="1322"/>
      <c r="E585" s="1322"/>
      <c r="F585" s="1322"/>
      <c r="G585" s="1348" t="s">
        <v>54</v>
      </c>
      <c r="H585" s="1489" t="s">
        <v>244</v>
      </c>
      <c r="I585" s="1488" t="s">
        <v>236</v>
      </c>
      <c r="J585" s="1333"/>
      <c r="K585" s="1342">
        <v>12</v>
      </c>
      <c r="L585" s="1339">
        <v>8000</v>
      </c>
      <c r="M585" s="1342">
        <v>12</v>
      </c>
      <c r="N585" s="1340">
        <v>10000</v>
      </c>
      <c r="O585" s="1342">
        <v>12</v>
      </c>
      <c r="P585" s="1340">
        <v>17000</v>
      </c>
      <c r="Q585" s="1342">
        <v>12</v>
      </c>
      <c r="R585" s="1340">
        <v>25000</v>
      </c>
      <c r="S585" s="1342">
        <v>12</v>
      </c>
      <c r="T585" s="1340">
        <v>30000</v>
      </c>
      <c r="U585" s="1342">
        <v>12</v>
      </c>
      <c r="V585" s="1340">
        <v>30000</v>
      </c>
      <c r="W585" s="1344">
        <v>60</v>
      </c>
      <c r="X585" s="1489"/>
      <c r="Y585" s="1638" t="s">
        <v>1150</v>
      </c>
    </row>
    <row r="586" spans="2:25" ht="63.75" x14ac:dyDescent="0.25">
      <c r="B586" s="1321"/>
      <c r="C586" s="1322"/>
      <c r="D586" s="1322"/>
      <c r="E586" s="1322"/>
      <c r="F586" s="1322"/>
      <c r="G586" s="1348" t="s">
        <v>56</v>
      </c>
      <c r="H586" s="1489" t="s">
        <v>245</v>
      </c>
      <c r="I586" s="1488" t="s">
        <v>236</v>
      </c>
      <c r="J586" s="1333"/>
      <c r="K586" s="1342">
        <v>12</v>
      </c>
      <c r="L586" s="1339">
        <v>12000</v>
      </c>
      <c r="M586" s="1342">
        <v>12</v>
      </c>
      <c r="N586" s="1340">
        <v>14000</v>
      </c>
      <c r="O586" s="1342">
        <v>12</v>
      </c>
      <c r="P586" s="1340">
        <v>16500</v>
      </c>
      <c r="Q586" s="1342">
        <v>12</v>
      </c>
      <c r="R586" s="1340">
        <v>18000</v>
      </c>
      <c r="S586" s="1342">
        <v>12</v>
      </c>
      <c r="T586" s="1340">
        <v>19500</v>
      </c>
      <c r="U586" s="1342">
        <v>12</v>
      </c>
      <c r="V586" s="1340">
        <v>21000</v>
      </c>
      <c r="W586" s="1344">
        <v>60</v>
      </c>
      <c r="X586" s="1489"/>
      <c r="Y586" s="1638" t="s">
        <v>1150</v>
      </c>
    </row>
    <row r="587" spans="2:25" ht="63.75" x14ac:dyDescent="0.25">
      <c r="B587" s="1321"/>
      <c r="C587" s="1322"/>
      <c r="D587" s="1322"/>
      <c r="E587" s="1322"/>
      <c r="F587" s="1322"/>
      <c r="G587" s="1348" t="s">
        <v>58</v>
      </c>
      <c r="H587" s="1489" t="s">
        <v>246</v>
      </c>
      <c r="I587" s="1488" t="s">
        <v>236</v>
      </c>
      <c r="J587" s="1333"/>
      <c r="K587" s="1342">
        <v>12</v>
      </c>
      <c r="L587" s="1339">
        <v>10000</v>
      </c>
      <c r="M587" s="1342">
        <v>12</v>
      </c>
      <c r="N587" s="1340">
        <v>18000</v>
      </c>
      <c r="O587" s="1342">
        <v>12</v>
      </c>
      <c r="P587" s="1340">
        <v>20000</v>
      </c>
      <c r="Q587" s="1342">
        <v>12</v>
      </c>
      <c r="R587" s="1340">
        <v>23000</v>
      </c>
      <c r="S587" s="1342">
        <v>12</v>
      </c>
      <c r="T587" s="1340">
        <v>26000</v>
      </c>
      <c r="U587" s="1342">
        <v>12</v>
      </c>
      <c r="V587" s="1340">
        <v>26000</v>
      </c>
      <c r="W587" s="1344">
        <v>60</v>
      </c>
      <c r="X587" s="1489"/>
      <c r="Y587" s="1638" t="s">
        <v>1150</v>
      </c>
    </row>
    <row r="588" spans="2:25" ht="63.75" x14ac:dyDescent="0.25">
      <c r="B588" s="1321"/>
      <c r="C588" s="1322"/>
      <c r="D588" s="1322"/>
      <c r="E588" s="1322"/>
      <c r="F588" s="1322"/>
      <c r="G588" s="1348" t="s">
        <v>137</v>
      </c>
      <c r="H588" s="1489" t="s">
        <v>247</v>
      </c>
      <c r="I588" s="1488" t="s">
        <v>236</v>
      </c>
      <c r="J588" s="1333"/>
      <c r="K588" s="1342">
        <v>12</v>
      </c>
      <c r="L588" s="1339">
        <v>45000</v>
      </c>
      <c r="M588" s="1342">
        <v>12</v>
      </c>
      <c r="N588" s="1340">
        <v>60000</v>
      </c>
      <c r="O588" s="1342">
        <v>12</v>
      </c>
      <c r="P588" s="1340">
        <v>85000</v>
      </c>
      <c r="Q588" s="1342">
        <v>12</v>
      </c>
      <c r="R588" s="1340">
        <v>90000</v>
      </c>
      <c r="S588" s="1342">
        <v>12</v>
      </c>
      <c r="T588" s="1340">
        <v>95000</v>
      </c>
      <c r="U588" s="1342">
        <v>12</v>
      </c>
      <c r="V588" s="1340">
        <v>95000</v>
      </c>
      <c r="W588" s="1344">
        <v>60</v>
      </c>
      <c r="X588" s="1489"/>
      <c r="Y588" s="1638" t="s">
        <v>1150</v>
      </c>
    </row>
    <row r="589" spans="2:25" ht="63.75" x14ac:dyDescent="0.25">
      <c r="B589" s="1321"/>
      <c r="C589" s="1322"/>
      <c r="D589" s="1322"/>
      <c r="E589" s="1322"/>
      <c r="F589" s="1322"/>
      <c r="G589" s="1348" t="s">
        <v>139</v>
      </c>
      <c r="H589" s="1489" t="s">
        <v>248</v>
      </c>
      <c r="I589" s="1488" t="s">
        <v>236</v>
      </c>
      <c r="J589" s="1333"/>
      <c r="K589" s="1342">
        <v>12</v>
      </c>
      <c r="L589" s="1339">
        <v>7000</v>
      </c>
      <c r="M589" s="1342">
        <v>12</v>
      </c>
      <c r="N589" s="1340">
        <v>10000</v>
      </c>
      <c r="O589" s="1342">
        <v>12</v>
      </c>
      <c r="P589" s="1340">
        <v>12000</v>
      </c>
      <c r="Q589" s="1342">
        <v>12</v>
      </c>
      <c r="R589" s="1340">
        <v>14000</v>
      </c>
      <c r="S589" s="1342">
        <v>12</v>
      </c>
      <c r="T589" s="1340">
        <v>16000</v>
      </c>
      <c r="U589" s="1342">
        <v>12</v>
      </c>
      <c r="V589" s="1340">
        <v>16000</v>
      </c>
      <c r="W589" s="1344">
        <v>60</v>
      </c>
      <c r="X589" s="1489"/>
      <c r="Y589" s="1638" t="s">
        <v>1150</v>
      </c>
    </row>
    <row r="590" spans="2:25" ht="51" x14ac:dyDescent="0.25">
      <c r="B590" s="1321"/>
      <c r="C590" s="1322"/>
      <c r="D590" s="1322"/>
      <c r="E590" s="1322"/>
      <c r="F590" s="1322"/>
      <c r="G590" s="1348" t="s">
        <v>65</v>
      </c>
      <c r="H590" s="1489" t="s">
        <v>249</v>
      </c>
      <c r="I590" s="1488" t="s">
        <v>19</v>
      </c>
      <c r="J590" s="1344">
        <v>100</v>
      </c>
      <c r="K590" s="1549">
        <v>20</v>
      </c>
      <c r="L590" s="1344">
        <f>SUM(L591:L595)</f>
        <v>285000</v>
      </c>
      <c r="M590" s="1549">
        <v>20</v>
      </c>
      <c r="N590" s="1344">
        <f>SUM(N591:N595)</f>
        <v>130000</v>
      </c>
      <c r="O590" s="1549">
        <v>15</v>
      </c>
      <c r="P590" s="1344">
        <f>SUM(P591:P595)</f>
        <v>480000</v>
      </c>
      <c r="Q590" s="1549">
        <v>15</v>
      </c>
      <c r="R590" s="1344">
        <f>SUM(R591:R595)</f>
        <v>535000</v>
      </c>
      <c r="S590" s="1549">
        <v>15</v>
      </c>
      <c r="T590" s="1344">
        <f>SUM(T591:T595)</f>
        <v>560000</v>
      </c>
      <c r="U590" s="1549">
        <v>15</v>
      </c>
      <c r="V590" s="1344">
        <f>SUM(V591:V595)</f>
        <v>560000</v>
      </c>
      <c r="W590" s="1344">
        <v>100</v>
      </c>
      <c r="X590" s="1488"/>
      <c r="Y590" s="1638" t="s">
        <v>1150</v>
      </c>
    </row>
    <row r="591" spans="2:25" ht="38.25" x14ac:dyDescent="0.25">
      <c r="B591" s="1321"/>
      <c r="C591" s="1322"/>
      <c r="D591" s="1322"/>
      <c r="E591" s="1322"/>
      <c r="F591" s="1322"/>
      <c r="G591" s="2084" t="s">
        <v>67</v>
      </c>
      <c r="H591" s="1350" t="s">
        <v>250</v>
      </c>
      <c r="I591" s="1488" t="s">
        <v>251</v>
      </c>
      <c r="J591" s="1350"/>
      <c r="K591" s="1342">
        <v>1</v>
      </c>
      <c r="L591" s="1325">
        <v>250000</v>
      </c>
      <c r="M591" s="1342">
        <v>1</v>
      </c>
      <c r="N591" s="1327">
        <v>50000</v>
      </c>
      <c r="O591" s="1342">
        <v>1</v>
      </c>
      <c r="P591" s="1327">
        <v>400000</v>
      </c>
      <c r="Q591" s="1342">
        <v>1</v>
      </c>
      <c r="R591" s="1327">
        <v>450000</v>
      </c>
      <c r="S591" s="1342">
        <v>1</v>
      </c>
      <c r="T591" s="1327">
        <v>475000</v>
      </c>
      <c r="U591" s="1342">
        <v>1</v>
      </c>
      <c r="V591" s="1327">
        <v>475000</v>
      </c>
      <c r="W591" s="1344">
        <v>5</v>
      </c>
      <c r="X591" s="2058"/>
      <c r="Y591" s="1638" t="s">
        <v>1150</v>
      </c>
    </row>
    <row r="592" spans="2:25" ht="25.5" x14ac:dyDescent="0.25">
      <c r="B592" s="1321"/>
      <c r="C592" s="1322"/>
      <c r="D592" s="1322"/>
      <c r="E592" s="1322"/>
      <c r="F592" s="1322"/>
      <c r="G592" s="2084"/>
      <c r="H592" s="1350" t="s">
        <v>252</v>
      </c>
      <c r="I592" s="1488" t="s">
        <v>251</v>
      </c>
      <c r="J592" s="1350"/>
      <c r="K592" s="1342">
        <v>1</v>
      </c>
      <c r="L592" s="1330">
        <v>0</v>
      </c>
      <c r="M592" s="1342">
        <v>0</v>
      </c>
      <c r="N592" s="1332">
        <v>0</v>
      </c>
      <c r="O592" s="1342">
        <v>1</v>
      </c>
      <c r="P592" s="1332">
        <v>0</v>
      </c>
      <c r="Q592" s="1342">
        <v>1</v>
      </c>
      <c r="R592" s="1332">
        <v>0</v>
      </c>
      <c r="S592" s="1342">
        <v>1</v>
      </c>
      <c r="T592" s="1332">
        <v>0</v>
      </c>
      <c r="U592" s="1342">
        <v>1</v>
      </c>
      <c r="V592" s="1332">
        <v>0</v>
      </c>
      <c r="W592" s="1344">
        <v>4</v>
      </c>
      <c r="X592" s="2058"/>
      <c r="Y592" s="1638" t="s">
        <v>1150</v>
      </c>
    </row>
    <row r="593" spans="2:29" ht="25.5" x14ac:dyDescent="0.25">
      <c r="B593" s="1321"/>
      <c r="C593" s="1322"/>
      <c r="D593" s="1322"/>
      <c r="E593" s="1322"/>
      <c r="F593" s="1322"/>
      <c r="G593" s="2084"/>
      <c r="H593" s="1350" t="s">
        <v>253</v>
      </c>
      <c r="I593" s="1488" t="s">
        <v>251</v>
      </c>
      <c r="J593" s="1350"/>
      <c r="K593" s="1342">
        <v>1</v>
      </c>
      <c r="L593" s="1334">
        <v>0</v>
      </c>
      <c r="M593" s="1342">
        <v>0</v>
      </c>
      <c r="N593" s="1336">
        <v>0</v>
      </c>
      <c r="O593" s="1342">
        <v>1</v>
      </c>
      <c r="P593" s="1336">
        <v>0</v>
      </c>
      <c r="Q593" s="1342">
        <v>1</v>
      </c>
      <c r="R593" s="1336">
        <v>0</v>
      </c>
      <c r="S593" s="1342">
        <v>1</v>
      </c>
      <c r="T593" s="1336">
        <v>0</v>
      </c>
      <c r="U593" s="1342">
        <v>1</v>
      </c>
      <c r="V593" s="1336">
        <v>0</v>
      </c>
      <c r="W593" s="1344">
        <v>4</v>
      </c>
      <c r="X593" s="2058"/>
      <c r="Y593" s="1638" t="s">
        <v>1150</v>
      </c>
    </row>
    <row r="594" spans="2:29" ht="51" x14ac:dyDescent="0.25">
      <c r="B594" s="1321"/>
      <c r="C594" s="1322"/>
      <c r="D594" s="1322"/>
      <c r="E594" s="1322"/>
      <c r="F594" s="1322"/>
      <c r="G594" s="1348" t="s">
        <v>164</v>
      </c>
      <c r="H594" s="1489" t="s">
        <v>254</v>
      </c>
      <c r="I594" s="1488" t="s">
        <v>75</v>
      </c>
      <c r="J594" s="1333"/>
      <c r="K594" s="1342">
        <v>4</v>
      </c>
      <c r="L594" s="1339">
        <v>20000</v>
      </c>
      <c r="M594" s="1342">
        <v>4</v>
      </c>
      <c r="N594" s="1255">
        <v>50000</v>
      </c>
      <c r="O594" s="1342">
        <v>4</v>
      </c>
      <c r="P594" s="1255">
        <v>50000</v>
      </c>
      <c r="Q594" s="1342">
        <v>4</v>
      </c>
      <c r="R594" s="1340">
        <v>50000</v>
      </c>
      <c r="S594" s="1342">
        <v>4</v>
      </c>
      <c r="T594" s="1340">
        <v>55000</v>
      </c>
      <c r="U594" s="1342">
        <v>4</v>
      </c>
      <c r="V594" s="1340">
        <v>55000</v>
      </c>
      <c r="W594" s="1344">
        <v>20</v>
      </c>
      <c r="X594" s="1488"/>
      <c r="Y594" s="1638" t="s">
        <v>1150</v>
      </c>
    </row>
    <row r="595" spans="2:29" ht="38.25" x14ac:dyDescent="0.25">
      <c r="B595" s="1321"/>
      <c r="C595" s="1322"/>
      <c r="D595" s="1322"/>
      <c r="E595" s="1322"/>
      <c r="F595" s="1322"/>
      <c r="G595" s="1348" t="s">
        <v>73</v>
      </c>
      <c r="H595" s="1489" t="s">
        <v>255</v>
      </c>
      <c r="I595" s="1488" t="s">
        <v>251</v>
      </c>
      <c r="J595" s="1333"/>
      <c r="K595" s="1342">
        <v>25</v>
      </c>
      <c r="L595" s="1339">
        <v>15000</v>
      </c>
      <c r="M595" s="1342">
        <v>20</v>
      </c>
      <c r="N595" s="1255">
        <v>30000</v>
      </c>
      <c r="O595" s="1342">
        <v>20</v>
      </c>
      <c r="P595" s="1255">
        <v>30000</v>
      </c>
      <c r="Q595" s="1342">
        <v>20</v>
      </c>
      <c r="R595" s="1340">
        <v>35000</v>
      </c>
      <c r="S595" s="1342">
        <v>20</v>
      </c>
      <c r="T595" s="1340">
        <v>30000</v>
      </c>
      <c r="U595" s="1342">
        <v>20</v>
      </c>
      <c r="V595" s="1340">
        <v>30000</v>
      </c>
      <c r="W595" s="1344">
        <v>105</v>
      </c>
      <c r="X595" s="1488"/>
      <c r="Y595" s="1638" t="s">
        <v>1150</v>
      </c>
    </row>
    <row r="596" spans="2:29" ht="63.75" x14ac:dyDescent="0.25">
      <c r="B596" s="1321"/>
      <c r="C596" s="1322"/>
      <c r="D596" s="1322"/>
      <c r="E596" s="1322"/>
      <c r="F596" s="1322"/>
      <c r="G596" s="1348" t="s">
        <v>77</v>
      </c>
      <c r="H596" s="1489" t="s">
        <v>78</v>
      </c>
      <c r="I596" s="1488" t="s">
        <v>79</v>
      </c>
      <c r="J596" s="1549">
        <v>6</v>
      </c>
      <c r="K596" s="1549">
        <v>6</v>
      </c>
      <c r="L596" s="1344">
        <f>SUM(L597)</f>
        <v>17000</v>
      </c>
      <c r="M596" s="1549">
        <v>5</v>
      </c>
      <c r="N596" s="1344">
        <f>SUM(N597)</f>
        <v>20000</v>
      </c>
      <c r="O596" s="1549">
        <v>5</v>
      </c>
      <c r="P596" s="1344">
        <f>SUM(P597)</f>
        <v>20000</v>
      </c>
      <c r="Q596" s="1549">
        <v>5</v>
      </c>
      <c r="R596" s="1344">
        <f>SUM(R597)</f>
        <v>20000</v>
      </c>
      <c r="S596" s="1549">
        <v>5</v>
      </c>
      <c r="T596" s="1344">
        <f>SUM(T597)</f>
        <v>20000</v>
      </c>
      <c r="U596" s="1549">
        <v>5</v>
      </c>
      <c r="V596" s="1344">
        <f>SUM(V597)</f>
        <v>20000</v>
      </c>
      <c r="W596" s="1344">
        <v>26</v>
      </c>
      <c r="X596" s="1488"/>
      <c r="Y596" s="1638" t="s">
        <v>1150</v>
      </c>
    </row>
    <row r="597" spans="2:29" ht="63.75" x14ac:dyDescent="0.25">
      <c r="B597" s="1321"/>
      <c r="C597" s="1322"/>
      <c r="D597" s="1322"/>
      <c r="E597" s="1322"/>
      <c r="F597" s="1322"/>
      <c r="G597" s="1348" t="s">
        <v>80</v>
      </c>
      <c r="H597" s="1489" t="s">
        <v>256</v>
      </c>
      <c r="I597" s="1488" t="s">
        <v>257</v>
      </c>
      <c r="J597" s="1343"/>
      <c r="K597" s="1333">
        <v>6</v>
      </c>
      <c r="L597" s="1339">
        <v>17000</v>
      </c>
      <c r="M597" s="1333">
        <v>5</v>
      </c>
      <c r="N597" s="1340">
        <v>20000</v>
      </c>
      <c r="O597" s="1342">
        <v>5</v>
      </c>
      <c r="P597" s="1340">
        <v>20000</v>
      </c>
      <c r="Q597" s="1342">
        <v>5</v>
      </c>
      <c r="R597" s="1340">
        <v>20000</v>
      </c>
      <c r="S597" s="1342">
        <v>5</v>
      </c>
      <c r="T597" s="1340">
        <v>20000</v>
      </c>
      <c r="U597" s="1342">
        <v>5</v>
      </c>
      <c r="V597" s="1340">
        <v>20000</v>
      </c>
      <c r="W597" s="1344">
        <v>26</v>
      </c>
      <c r="X597" s="1488"/>
      <c r="Y597" s="1638" t="s">
        <v>1150</v>
      </c>
    </row>
    <row r="598" spans="2:29" ht="63.75" x14ac:dyDescent="0.25">
      <c r="B598" s="1321"/>
      <c r="C598" s="1322"/>
      <c r="D598" s="1322"/>
      <c r="E598" s="1322"/>
      <c r="F598" s="1322"/>
      <c r="G598" s="1348" t="s">
        <v>167</v>
      </c>
      <c r="H598" s="1489" t="s">
        <v>258</v>
      </c>
      <c r="I598" s="1488" t="s">
        <v>79</v>
      </c>
      <c r="J598" s="1550">
        <v>0</v>
      </c>
      <c r="K598" s="1549">
        <v>1</v>
      </c>
      <c r="L598" s="1344">
        <f>SUM(L599)</f>
        <v>3000</v>
      </c>
      <c r="M598" s="1549">
        <v>1</v>
      </c>
      <c r="N598" s="1344">
        <f>SUM(N599)</f>
        <v>8000</v>
      </c>
      <c r="O598" s="1549">
        <v>1</v>
      </c>
      <c r="P598" s="1344">
        <f>SUM(P599)</f>
        <v>12000</v>
      </c>
      <c r="Q598" s="1549">
        <v>1</v>
      </c>
      <c r="R598" s="1344">
        <f>SUM(R599)</f>
        <v>14000</v>
      </c>
      <c r="S598" s="1549">
        <v>1</v>
      </c>
      <c r="T598" s="1344">
        <f>SUM(T599)</f>
        <v>16000</v>
      </c>
      <c r="U598" s="1549">
        <v>1</v>
      </c>
      <c r="V598" s="1344">
        <f>SUM(V599)</f>
        <v>18000</v>
      </c>
      <c r="W598" s="1549">
        <v>5</v>
      </c>
      <c r="X598" s="1488"/>
      <c r="Y598" s="1638" t="s">
        <v>1150</v>
      </c>
    </row>
    <row r="599" spans="2:29" ht="51.75" thickBot="1" x14ac:dyDescent="0.3">
      <c r="B599" s="1321"/>
      <c r="C599" s="1322"/>
      <c r="D599" s="1322"/>
      <c r="E599" s="1322"/>
      <c r="F599" s="1322"/>
      <c r="G599" s="1320" t="s">
        <v>169</v>
      </c>
      <c r="H599" s="1347" t="s">
        <v>259</v>
      </c>
      <c r="I599" s="1351" t="s">
        <v>260</v>
      </c>
      <c r="J599" s="1345">
        <v>0</v>
      </c>
      <c r="K599" s="1352">
        <v>1</v>
      </c>
      <c r="L599" s="1345">
        <v>3000</v>
      </c>
      <c r="M599" s="1352">
        <v>1</v>
      </c>
      <c r="N599" s="1345">
        <v>8000</v>
      </c>
      <c r="O599" s="1352">
        <v>1</v>
      </c>
      <c r="P599" s="1345">
        <v>12000</v>
      </c>
      <c r="Q599" s="1352">
        <v>1</v>
      </c>
      <c r="R599" s="1345">
        <v>14000</v>
      </c>
      <c r="S599" s="1352">
        <v>1</v>
      </c>
      <c r="T599" s="1345">
        <v>16000</v>
      </c>
      <c r="U599" s="1352">
        <v>1</v>
      </c>
      <c r="V599" s="1345">
        <v>18000</v>
      </c>
      <c r="W599" s="1345">
        <v>5</v>
      </c>
      <c r="X599" s="1351"/>
      <c r="Y599" s="1640" t="s">
        <v>1150</v>
      </c>
    </row>
    <row r="600" spans="2:29" ht="51" x14ac:dyDescent="0.25">
      <c r="B600" s="1321"/>
      <c r="C600" s="1322"/>
      <c r="D600" s="1322"/>
      <c r="E600" s="1322"/>
      <c r="F600" s="1322"/>
      <c r="G600" s="1348" t="s">
        <v>261</v>
      </c>
      <c r="H600" s="1348" t="s">
        <v>262</v>
      </c>
      <c r="I600" s="1488" t="s">
        <v>19</v>
      </c>
      <c r="J600" s="1551">
        <v>4.5977011494252871</v>
      </c>
      <c r="K600" s="1551">
        <v>16.091954022988507</v>
      </c>
      <c r="L600" s="1344">
        <f>SUM(L601:L603)</f>
        <v>169400</v>
      </c>
      <c r="M600" s="1551">
        <v>22.60536398467433</v>
      </c>
      <c r="N600" s="1344">
        <f>SUM(N601:N603)</f>
        <v>169400</v>
      </c>
      <c r="O600" s="1551">
        <v>29.310344827586203</v>
      </c>
      <c r="P600" s="1344">
        <f>SUM(P601:P603)</f>
        <v>185000</v>
      </c>
      <c r="Q600" s="1551">
        <v>36.015325670498086</v>
      </c>
      <c r="R600" s="1344">
        <f>SUM(R601:R603)</f>
        <v>193000</v>
      </c>
      <c r="S600" s="1551">
        <v>42.720306513409959</v>
      </c>
      <c r="T600" s="1344">
        <f>SUM(T601:T603)</f>
        <v>200000</v>
      </c>
      <c r="U600" s="1551">
        <v>49.425287356321839</v>
      </c>
      <c r="V600" s="1344">
        <f>SUM(V601:V603)</f>
        <v>200000</v>
      </c>
      <c r="W600" s="1552">
        <f>U600</f>
        <v>49.425287356321839</v>
      </c>
      <c r="X600" s="1488"/>
      <c r="Y600" s="1641" t="s">
        <v>1150</v>
      </c>
      <c r="AC600" s="1553">
        <v>22.60536398467433</v>
      </c>
    </row>
    <row r="601" spans="2:29" ht="63.75" x14ac:dyDescent="0.25">
      <c r="B601" s="1321"/>
      <c r="C601" s="1322"/>
      <c r="D601" s="1322"/>
      <c r="E601" s="1322"/>
      <c r="F601" s="1322"/>
      <c r="G601" s="1322" t="s">
        <v>263</v>
      </c>
      <c r="H601" s="1322" t="s">
        <v>264</v>
      </c>
      <c r="I601" s="1490" t="s">
        <v>265</v>
      </c>
      <c r="J601" s="1329">
        <v>50</v>
      </c>
      <c r="K601" s="1329">
        <v>50</v>
      </c>
      <c r="L601" s="1330">
        <v>99400</v>
      </c>
      <c r="M601" s="1329">
        <v>25</v>
      </c>
      <c r="N601" s="1332">
        <v>99400</v>
      </c>
      <c r="O601" s="1329">
        <v>25</v>
      </c>
      <c r="P601" s="1332">
        <v>110000</v>
      </c>
      <c r="Q601" s="1329">
        <v>25</v>
      </c>
      <c r="R601" s="1332">
        <v>115000</v>
      </c>
      <c r="S601" s="1329">
        <v>25</v>
      </c>
      <c r="T601" s="1332">
        <v>120000</v>
      </c>
      <c r="U601" s="1329">
        <v>25</v>
      </c>
      <c r="V601" s="1332">
        <v>120000</v>
      </c>
      <c r="W601" s="1346">
        <v>150</v>
      </c>
      <c r="X601" s="2059"/>
      <c r="Y601" s="1642" t="s">
        <v>1150</v>
      </c>
    </row>
    <row r="602" spans="2:29" ht="76.5" x14ac:dyDescent="0.25">
      <c r="B602" s="1321"/>
      <c r="C602" s="1322"/>
      <c r="D602" s="1322"/>
      <c r="E602" s="1322"/>
      <c r="F602" s="1322"/>
      <c r="G602" s="1338"/>
      <c r="H602" s="1320" t="s">
        <v>266</v>
      </c>
      <c r="I602" s="1488" t="s">
        <v>234</v>
      </c>
      <c r="J602" s="1333">
        <v>3000</v>
      </c>
      <c r="K602" s="1333">
        <v>2000</v>
      </c>
      <c r="L602" s="1334">
        <v>0</v>
      </c>
      <c r="M602" s="1333">
        <v>2000</v>
      </c>
      <c r="N602" s="1336">
        <v>0</v>
      </c>
      <c r="O602" s="1333">
        <v>2000</v>
      </c>
      <c r="P602" s="1336">
        <v>0</v>
      </c>
      <c r="Q602" s="1333">
        <v>2000</v>
      </c>
      <c r="R602" s="1336">
        <v>0</v>
      </c>
      <c r="S602" s="1333">
        <v>2000</v>
      </c>
      <c r="T602" s="1336">
        <v>0</v>
      </c>
      <c r="U602" s="1333">
        <v>2000</v>
      </c>
      <c r="V602" s="1336">
        <v>0</v>
      </c>
      <c r="W602" s="1344">
        <v>10000</v>
      </c>
      <c r="X602" s="2058"/>
      <c r="Y602" s="1638" t="s">
        <v>1150</v>
      </c>
    </row>
    <row r="603" spans="2:29" ht="63.75" x14ac:dyDescent="0.25">
      <c r="B603" s="1321"/>
      <c r="C603" s="1322"/>
      <c r="D603" s="1322"/>
      <c r="E603" s="1322"/>
      <c r="F603" s="1322"/>
      <c r="G603" s="1348" t="s">
        <v>267</v>
      </c>
      <c r="H603" s="1489" t="s">
        <v>268</v>
      </c>
      <c r="I603" s="1488" t="s">
        <v>269</v>
      </c>
      <c r="J603" s="1333">
        <v>14</v>
      </c>
      <c r="K603" s="1333">
        <v>10</v>
      </c>
      <c r="L603" s="1339">
        <v>70000</v>
      </c>
      <c r="M603" s="1333">
        <v>9</v>
      </c>
      <c r="N603" s="1340">
        <v>70000</v>
      </c>
      <c r="O603" s="1333">
        <v>10</v>
      </c>
      <c r="P603" s="1340">
        <v>75000</v>
      </c>
      <c r="Q603" s="1333">
        <v>10</v>
      </c>
      <c r="R603" s="1340">
        <v>78000</v>
      </c>
      <c r="S603" s="1333">
        <v>10</v>
      </c>
      <c r="T603" s="1340">
        <v>80000</v>
      </c>
      <c r="U603" s="1333">
        <v>10</v>
      </c>
      <c r="V603" s="1340">
        <v>80000</v>
      </c>
      <c r="W603" s="1344">
        <v>49</v>
      </c>
      <c r="X603" s="1488"/>
      <c r="Y603" s="1638" t="s">
        <v>1150</v>
      </c>
    </row>
    <row r="604" spans="2:29" ht="51" x14ac:dyDescent="0.25">
      <c r="B604" s="1321"/>
      <c r="C604" s="1322"/>
      <c r="D604" s="1322"/>
      <c r="E604" s="1322"/>
      <c r="F604" s="1322"/>
      <c r="G604" s="1348" t="s">
        <v>270</v>
      </c>
      <c r="H604" s="1489" t="s">
        <v>271</v>
      </c>
      <c r="I604" s="1488" t="s">
        <v>19</v>
      </c>
      <c r="J604" s="1344">
        <v>100</v>
      </c>
      <c r="K604" s="1554">
        <v>20</v>
      </c>
      <c r="L604" s="1339">
        <f>SUM(L605:L609)</f>
        <v>170000</v>
      </c>
      <c r="M604" s="1333">
        <v>20</v>
      </c>
      <c r="N604" s="1339">
        <f>SUM(N605:N609)</f>
        <v>200000</v>
      </c>
      <c r="O604" s="1333">
        <v>20</v>
      </c>
      <c r="P604" s="1339">
        <f>SUM(P605:P609)</f>
        <v>230000</v>
      </c>
      <c r="Q604" s="1333">
        <v>20</v>
      </c>
      <c r="R604" s="1339">
        <f>SUM(R605:R609)</f>
        <v>240000</v>
      </c>
      <c r="S604" s="1333">
        <v>20</v>
      </c>
      <c r="T604" s="1339">
        <f>SUM(T605:T609)</f>
        <v>255000</v>
      </c>
      <c r="U604" s="1333">
        <v>20</v>
      </c>
      <c r="V604" s="1339">
        <f>SUM(V605:V609)</f>
        <v>255000</v>
      </c>
      <c r="W604" s="1344">
        <v>100</v>
      </c>
      <c r="X604" s="1488"/>
      <c r="Y604" s="1638" t="s">
        <v>1150</v>
      </c>
    </row>
    <row r="605" spans="2:29" ht="25.5" x14ac:dyDescent="0.25">
      <c r="B605" s="1321"/>
      <c r="C605" s="1322"/>
      <c r="D605" s="1322"/>
      <c r="E605" s="1322"/>
      <c r="F605" s="1322"/>
      <c r="G605" s="2084" t="s">
        <v>272</v>
      </c>
      <c r="H605" s="2084" t="s">
        <v>273</v>
      </c>
      <c r="I605" s="1488" t="s">
        <v>274</v>
      </c>
      <c r="J605" s="1333">
        <v>0</v>
      </c>
      <c r="K605" s="1333">
        <v>1</v>
      </c>
      <c r="L605" s="1325">
        <v>20000</v>
      </c>
      <c r="M605" s="1333">
        <v>2</v>
      </c>
      <c r="N605" s="1327">
        <v>40000</v>
      </c>
      <c r="O605" s="1333">
        <v>2</v>
      </c>
      <c r="P605" s="1327">
        <v>55000</v>
      </c>
      <c r="Q605" s="1333">
        <v>2</v>
      </c>
      <c r="R605" s="1327">
        <v>60000</v>
      </c>
      <c r="S605" s="1333">
        <v>2</v>
      </c>
      <c r="T605" s="1327">
        <v>65000</v>
      </c>
      <c r="U605" s="1333">
        <v>2</v>
      </c>
      <c r="V605" s="1327">
        <v>65000</v>
      </c>
      <c r="W605" s="1344">
        <v>9</v>
      </c>
      <c r="X605" s="2058"/>
      <c r="Y605" s="1638" t="s">
        <v>1150</v>
      </c>
    </row>
    <row r="606" spans="2:29" x14ac:dyDescent="0.25">
      <c r="B606" s="1321"/>
      <c r="C606" s="1322"/>
      <c r="D606" s="1322"/>
      <c r="E606" s="1322"/>
      <c r="F606" s="1322"/>
      <c r="G606" s="2084"/>
      <c r="H606" s="2084"/>
      <c r="I606" s="1488" t="s">
        <v>275</v>
      </c>
      <c r="J606" s="1333">
        <v>0</v>
      </c>
      <c r="K606" s="1333">
        <v>1</v>
      </c>
      <c r="L606" s="1334">
        <v>0</v>
      </c>
      <c r="M606" s="1333">
        <v>1</v>
      </c>
      <c r="N606" s="1336">
        <v>0</v>
      </c>
      <c r="O606" s="1333">
        <v>1</v>
      </c>
      <c r="P606" s="1336">
        <v>0</v>
      </c>
      <c r="Q606" s="1333">
        <v>1</v>
      </c>
      <c r="R606" s="1336">
        <v>0</v>
      </c>
      <c r="S606" s="1333">
        <v>1</v>
      </c>
      <c r="T606" s="1336">
        <v>0</v>
      </c>
      <c r="U606" s="1333">
        <v>1</v>
      </c>
      <c r="V606" s="1336">
        <v>0</v>
      </c>
      <c r="W606" s="1344">
        <v>5</v>
      </c>
      <c r="X606" s="2058"/>
      <c r="Y606" s="1638" t="s">
        <v>1150</v>
      </c>
    </row>
    <row r="607" spans="2:29" ht="51" x14ac:dyDescent="0.25">
      <c r="B607" s="1321"/>
      <c r="C607" s="1322"/>
      <c r="D607" s="1322"/>
      <c r="E607" s="1322"/>
      <c r="F607" s="1322"/>
      <c r="G607" s="1348" t="s">
        <v>276</v>
      </c>
      <c r="H607" s="1489" t="s">
        <v>277</v>
      </c>
      <c r="I607" s="1488" t="s">
        <v>278</v>
      </c>
      <c r="J607" s="1333">
        <v>62</v>
      </c>
      <c r="K607" s="1333">
        <v>62</v>
      </c>
      <c r="L607" s="1339">
        <v>50000</v>
      </c>
      <c r="M607" s="1333">
        <v>62</v>
      </c>
      <c r="N607" s="1340">
        <v>60000</v>
      </c>
      <c r="O607" s="1333">
        <v>62</v>
      </c>
      <c r="P607" s="1340">
        <v>60000</v>
      </c>
      <c r="Q607" s="1333">
        <v>62</v>
      </c>
      <c r="R607" s="1340">
        <v>65000</v>
      </c>
      <c r="S607" s="1333">
        <v>62</v>
      </c>
      <c r="T607" s="1340">
        <v>70000</v>
      </c>
      <c r="U607" s="1333">
        <v>62</v>
      </c>
      <c r="V607" s="1340">
        <v>70000</v>
      </c>
      <c r="W607" s="1344">
        <v>310</v>
      </c>
      <c r="X607" s="1488"/>
      <c r="Y607" s="1638" t="s">
        <v>1150</v>
      </c>
    </row>
    <row r="608" spans="2:29" ht="63.75" x14ac:dyDescent="0.25">
      <c r="B608" s="1321"/>
      <c r="C608" s="1322"/>
      <c r="D608" s="1322"/>
      <c r="E608" s="1322"/>
      <c r="F608" s="1322"/>
      <c r="G608" s="2084" t="s">
        <v>279</v>
      </c>
      <c r="H608" s="2084" t="s">
        <v>280</v>
      </c>
      <c r="I608" s="1488" t="s">
        <v>281</v>
      </c>
      <c r="J608" s="1353">
        <v>40</v>
      </c>
      <c r="K608" s="1333">
        <v>80</v>
      </c>
      <c r="L608" s="1325">
        <v>100000</v>
      </c>
      <c r="M608" s="1333">
        <v>80</v>
      </c>
      <c r="N608" s="1327">
        <v>100000</v>
      </c>
      <c r="O608" s="1333">
        <v>80</v>
      </c>
      <c r="P608" s="1327">
        <v>115000</v>
      </c>
      <c r="Q608" s="1333">
        <v>80</v>
      </c>
      <c r="R608" s="1327">
        <v>115000</v>
      </c>
      <c r="S608" s="1333">
        <v>80</v>
      </c>
      <c r="T608" s="1327">
        <v>120000</v>
      </c>
      <c r="U608" s="1333">
        <v>80</v>
      </c>
      <c r="V608" s="1327">
        <v>120000</v>
      </c>
      <c r="W608" s="1344">
        <v>400</v>
      </c>
      <c r="X608" s="2058"/>
      <c r="Y608" s="1638" t="s">
        <v>1150</v>
      </c>
    </row>
    <row r="609" spans="2:25" x14ac:dyDescent="0.25">
      <c r="B609" s="1337"/>
      <c r="C609" s="1338"/>
      <c r="D609" s="1338"/>
      <c r="E609" s="1338"/>
      <c r="F609" s="1338"/>
      <c r="G609" s="2084"/>
      <c r="H609" s="2084"/>
      <c r="I609" s="1488" t="s">
        <v>282</v>
      </c>
      <c r="J609" s="1354"/>
      <c r="K609" s="1333">
        <v>1</v>
      </c>
      <c r="L609" s="1334">
        <v>0</v>
      </c>
      <c r="M609" s="1333">
        <v>1</v>
      </c>
      <c r="N609" s="1336">
        <v>0</v>
      </c>
      <c r="O609" s="1333">
        <v>1</v>
      </c>
      <c r="P609" s="1336">
        <v>0</v>
      </c>
      <c r="Q609" s="1333">
        <v>1</v>
      </c>
      <c r="R609" s="1336">
        <v>0</v>
      </c>
      <c r="S609" s="1333">
        <v>1</v>
      </c>
      <c r="T609" s="1336">
        <v>0</v>
      </c>
      <c r="U609" s="1333">
        <v>1</v>
      </c>
      <c r="V609" s="1336">
        <v>0</v>
      </c>
      <c r="W609" s="1344">
        <v>5</v>
      </c>
      <c r="X609" s="2058"/>
      <c r="Y609" s="1638" t="s">
        <v>1150</v>
      </c>
    </row>
    <row r="610" spans="2:25" ht="13.5" thickBot="1" x14ac:dyDescent="0.3">
      <c r="B610" s="1355"/>
      <c r="C610" s="1356"/>
      <c r="D610" s="1356"/>
      <c r="E610" s="1356"/>
      <c r="F610" s="1356"/>
      <c r="G610" s="1356"/>
      <c r="H610" s="1357"/>
      <c r="I610" s="1361"/>
      <c r="J610" s="1358"/>
      <c r="K610" s="1358"/>
      <c r="L610" s="1555">
        <f>SUM(L557:L609)/2</f>
        <v>1603742</v>
      </c>
      <c r="M610" s="1358"/>
      <c r="N610" s="1555">
        <f>SUM(N557:N609)/2</f>
        <v>1799146</v>
      </c>
      <c r="O610" s="1359"/>
      <c r="P610" s="1555">
        <f>SUM(P557:P609)/2</f>
        <v>2553000</v>
      </c>
      <c r="Q610" s="1359"/>
      <c r="R610" s="1555">
        <f>SUM(R557:R609)/2</f>
        <v>2783750</v>
      </c>
      <c r="S610" s="1359"/>
      <c r="T610" s="1555">
        <f>SUM(T557:T609)/2</f>
        <v>2984500</v>
      </c>
      <c r="U610" s="1359"/>
      <c r="V610" s="1555">
        <f>SUM(V557:V609)/2</f>
        <v>3003000</v>
      </c>
      <c r="W610" s="1360"/>
      <c r="X610" s="1361"/>
      <c r="Y610" s="1362"/>
    </row>
    <row r="611" spans="2:25" ht="13.5" thickTop="1" x14ac:dyDescent="0.25">
      <c r="B611" s="1363"/>
      <c r="C611" s="1363"/>
      <c r="D611" s="1363"/>
      <c r="E611" s="1363"/>
      <c r="F611" s="1363"/>
      <c r="G611" s="1363"/>
      <c r="H611" s="1364"/>
      <c r="I611" s="1368"/>
      <c r="J611" s="1365"/>
      <c r="K611" s="1365"/>
      <c r="L611" s="1556"/>
      <c r="M611" s="1365"/>
      <c r="N611" s="1556"/>
      <c r="O611" s="1366"/>
      <c r="P611" s="1556"/>
      <c r="Q611" s="1366"/>
      <c r="R611" s="1556"/>
      <c r="S611" s="1366"/>
      <c r="T611" s="1556"/>
      <c r="U611" s="1366"/>
      <c r="V611" s="1556"/>
      <c r="W611" s="1367"/>
      <c r="X611" s="1368"/>
      <c r="Y611" s="1368"/>
    </row>
    <row r="612" spans="2:25" ht="13.5" thickBot="1" x14ac:dyDescent="0.3">
      <c r="B612" s="883" t="s">
        <v>1151</v>
      </c>
      <c r="I612" s="1238"/>
      <c r="J612" s="1238"/>
      <c r="K612" s="1238"/>
      <c r="L612" s="1643"/>
      <c r="M612" s="1238"/>
      <c r="N612" s="1238"/>
      <c r="O612" s="1238"/>
      <c r="P612" s="1238"/>
      <c r="Q612" s="1238"/>
      <c r="R612" s="1238"/>
      <c r="S612" s="1238"/>
      <c r="T612" s="1238"/>
      <c r="U612" s="1238"/>
      <c r="V612" s="1238"/>
      <c r="W612" s="1238"/>
    </row>
    <row r="613" spans="2:25" ht="13.5" thickTop="1" x14ac:dyDescent="0.25">
      <c r="B613" s="2045" t="s">
        <v>494</v>
      </c>
      <c r="C613" s="2040" t="s">
        <v>752</v>
      </c>
      <c r="D613" s="2040" t="s">
        <v>576</v>
      </c>
      <c r="E613" s="2040" t="s">
        <v>577</v>
      </c>
      <c r="F613" s="2040" t="s">
        <v>3127</v>
      </c>
      <c r="G613" s="2040" t="s">
        <v>3128</v>
      </c>
      <c r="H613" s="2040" t="s">
        <v>966</v>
      </c>
      <c r="I613" s="2040" t="s">
        <v>421</v>
      </c>
      <c r="J613" s="2055" t="s">
        <v>967</v>
      </c>
      <c r="K613" s="2053" t="s">
        <v>7</v>
      </c>
      <c r="L613" s="2054"/>
      <c r="M613" s="2054"/>
      <c r="N613" s="2054"/>
      <c r="O613" s="2054"/>
      <c r="P613" s="2054"/>
      <c r="Q613" s="2054"/>
      <c r="R613" s="2054"/>
      <c r="S613" s="2054"/>
      <c r="T613" s="2054"/>
      <c r="U613" s="2054"/>
      <c r="V613" s="2054"/>
      <c r="W613" s="2054"/>
      <c r="X613" s="2040" t="s">
        <v>653</v>
      </c>
      <c r="Y613" s="2049" t="s">
        <v>1147</v>
      </c>
    </row>
    <row r="614" spans="2:25" x14ac:dyDescent="0.25">
      <c r="B614" s="2046"/>
      <c r="C614" s="2041"/>
      <c r="D614" s="2041"/>
      <c r="E614" s="2041"/>
      <c r="F614" s="2041"/>
      <c r="G614" s="2041"/>
      <c r="H614" s="2041"/>
      <c r="I614" s="2041"/>
      <c r="J614" s="2052"/>
      <c r="K614" s="2051" t="s">
        <v>114</v>
      </c>
      <c r="L614" s="2038"/>
      <c r="M614" s="2051" t="s">
        <v>115</v>
      </c>
      <c r="N614" s="2038"/>
      <c r="O614" s="2051" t="s">
        <v>116</v>
      </c>
      <c r="P614" s="2038"/>
      <c r="Q614" s="2051" t="s">
        <v>117</v>
      </c>
      <c r="R614" s="2038"/>
      <c r="S614" s="2051" t="s">
        <v>118</v>
      </c>
      <c r="T614" s="2038"/>
      <c r="U614" s="2051" t="s">
        <v>119</v>
      </c>
      <c r="V614" s="2038"/>
      <c r="W614" s="2052" t="s">
        <v>968</v>
      </c>
      <c r="X614" s="2041"/>
      <c r="Y614" s="2050"/>
    </row>
    <row r="615" spans="2:25" x14ac:dyDescent="0.25">
      <c r="B615" s="2046"/>
      <c r="C615" s="2041"/>
      <c r="D615" s="2041"/>
      <c r="E615" s="2041"/>
      <c r="F615" s="2041"/>
      <c r="G615" s="2041"/>
      <c r="H615" s="2041"/>
      <c r="I615" s="2041"/>
      <c r="J615" s="2052"/>
      <c r="K615" s="1263" t="s">
        <v>9</v>
      </c>
      <c r="L615" s="1503" t="s">
        <v>3107</v>
      </c>
      <c r="M615" s="1263" t="s">
        <v>9</v>
      </c>
      <c r="N615" s="1503" t="s">
        <v>1355</v>
      </c>
      <c r="O615" s="1263" t="s">
        <v>9</v>
      </c>
      <c r="P615" s="1503" t="s">
        <v>1355</v>
      </c>
      <c r="Q615" s="1263" t="s">
        <v>9</v>
      </c>
      <c r="R615" s="1503" t="s">
        <v>1355</v>
      </c>
      <c r="S615" s="1263" t="s">
        <v>9</v>
      </c>
      <c r="T615" s="1503" t="s">
        <v>1355</v>
      </c>
      <c r="U615" s="1263" t="s">
        <v>9</v>
      </c>
      <c r="V615" s="1503" t="s">
        <v>1355</v>
      </c>
      <c r="W615" s="2052"/>
      <c r="X615" s="2041"/>
      <c r="Y615" s="2050"/>
    </row>
    <row r="616" spans="2:25" s="1239" customFormat="1" x14ac:dyDescent="0.25">
      <c r="B616" s="1504" t="s">
        <v>586</v>
      </c>
      <c r="C616" s="1448" t="s">
        <v>585</v>
      </c>
      <c r="D616" s="1448" t="s">
        <v>654</v>
      </c>
      <c r="E616" s="1448" t="s">
        <v>655</v>
      </c>
      <c r="F616" s="1505" t="s">
        <v>32</v>
      </c>
      <c r="G616" s="933">
        <v>6</v>
      </c>
      <c r="H616" s="1505">
        <v>7</v>
      </c>
      <c r="I616" s="1445" t="s">
        <v>3065</v>
      </c>
      <c r="J616" s="1269" t="s">
        <v>3066</v>
      </c>
      <c r="K616" s="1269" t="s">
        <v>3067</v>
      </c>
      <c r="L616" s="1506" t="s">
        <v>3068</v>
      </c>
      <c r="M616" s="1269" t="s">
        <v>3069</v>
      </c>
      <c r="N616" s="1506">
        <v>13</v>
      </c>
      <c r="O616" s="1269">
        <v>14</v>
      </c>
      <c r="P616" s="1506">
        <v>15</v>
      </c>
      <c r="Q616" s="1269">
        <v>16</v>
      </c>
      <c r="R616" s="1506">
        <v>17</v>
      </c>
      <c r="S616" s="1269">
        <v>18</v>
      </c>
      <c r="T616" s="1506">
        <v>19</v>
      </c>
      <c r="U616" s="1269">
        <v>20</v>
      </c>
      <c r="V616" s="1506">
        <v>21</v>
      </c>
      <c r="W616" s="1269">
        <v>22</v>
      </c>
      <c r="X616" s="1445">
        <v>23</v>
      </c>
      <c r="Y616" s="1507">
        <v>24</v>
      </c>
    </row>
    <row r="617" spans="2:25" ht="57.75" customHeight="1" x14ac:dyDescent="0.25">
      <c r="B617" s="2087" t="s">
        <v>347</v>
      </c>
      <c r="C617" s="2085" t="s">
        <v>3919</v>
      </c>
      <c r="D617" s="2085" t="s">
        <v>3921</v>
      </c>
      <c r="E617" s="2085" t="s">
        <v>3916</v>
      </c>
      <c r="F617" s="1644" t="s">
        <v>3833</v>
      </c>
      <c r="G617" s="1737" t="s">
        <v>3915</v>
      </c>
      <c r="H617" s="1369"/>
      <c r="I617" s="1557" t="s">
        <v>19</v>
      </c>
      <c r="J617" s="1758">
        <v>0</v>
      </c>
      <c r="K617" s="1758">
        <v>32.01</v>
      </c>
      <c r="L617" s="1758"/>
      <c r="M617" s="1758">
        <v>32.130000000000003</v>
      </c>
      <c r="N617" s="1758"/>
      <c r="O617" s="1758">
        <v>32.15</v>
      </c>
      <c r="P617" s="1758"/>
      <c r="Q617" s="1758">
        <v>32.24</v>
      </c>
      <c r="R617" s="1651"/>
      <c r="S617" s="1758">
        <v>32.31</v>
      </c>
      <c r="T617" s="1651"/>
      <c r="U617" s="1758">
        <v>32.369999999999997</v>
      </c>
      <c r="V617" s="1651"/>
      <c r="W617" s="1758">
        <v>32.369999999999997</v>
      </c>
      <c r="X617" s="1648"/>
      <c r="Y617" s="1649"/>
    </row>
    <row r="618" spans="2:25" ht="38.25" x14ac:dyDescent="0.25">
      <c r="B618" s="2088"/>
      <c r="C618" s="2086"/>
      <c r="D618" s="2086"/>
      <c r="E618" s="2086"/>
      <c r="F618" s="1646"/>
      <c r="G618" s="1369" t="s">
        <v>343</v>
      </c>
      <c r="H618" s="1369" t="s">
        <v>344</v>
      </c>
      <c r="I618" s="1557" t="s">
        <v>327</v>
      </c>
      <c r="J618" s="1369">
        <v>156</v>
      </c>
      <c r="K618" s="1369">
        <v>100</v>
      </c>
      <c r="L618" s="1648">
        <f>SUM(L619)</f>
        <v>50000</v>
      </c>
      <c r="M618" s="1648">
        <v>110</v>
      </c>
      <c r="N618" s="1648">
        <f>SUM(N619)</f>
        <v>55000</v>
      </c>
      <c r="O618" s="1648">
        <v>120</v>
      </c>
      <c r="P618" s="1648">
        <f>SUM(P619)</f>
        <v>60000</v>
      </c>
      <c r="Q618" s="1648">
        <v>125</v>
      </c>
      <c r="R618" s="1648">
        <f>SUM(R619)</f>
        <v>65000</v>
      </c>
      <c r="S618" s="1648">
        <v>130</v>
      </c>
      <c r="T618" s="1648">
        <f>SUM(T619)</f>
        <v>70000</v>
      </c>
      <c r="U618" s="1648">
        <v>130</v>
      </c>
      <c r="V618" s="1648">
        <f>SUM(V619)</f>
        <v>70000</v>
      </c>
      <c r="W618" s="1648">
        <v>585</v>
      </c>
      <c r="X618" s="1648"/>
      <c r="Y618" s="1649" t="s">
        <v>1151</v>
      </c>
    </row>
    <row r="619" spans="2:25" ht="63.75" x14ac:dyDescent="0.25">
      <c r="B619" s="2088"/>
      <c r="C619" s="2086"/>
      <c r="D619" s="2086"/>
      <c r="E619" s="2086"/>
      <c r="F619" s="1646"/>
      <c r="G619" s="1369" t="s">
        <v>345</v>
      </c>
      <c r="H619" s="1369" t="s">
        <v>346</v>
      </c>
      <c r="I619" s="1557" t="s">
        <v>327</v>
      </c>
      <c r="J619" s="1369">
        <v>156</v>
      </c>
      <c r="K619" s="1369">
        <v>100</v>
      </c>
      <c r="L619" s="1651">
        <v>50000</v>
      </c>
      <c r="M619" s="1650">
        <v>110</v>
      </c>
      <c r="N619" s="1651">
        <v>55000</v>
      </c>
      <c r="O619" s="1650">
        <v>120</v>
      </c>
      <c r="P619" s="1651">
        <v>60000</v>
      </c>
      <c r="Q619" s="1650">
        <v>125</v>
      </c>
      <c r="R619" s="1651">
        <v>65000</v>
      </c>
      <c r="S619" s="1650">
        <v>130</v>
      </c>
      <c r="T619" s="1651">
        <v>70000</v>
      </c>
      <c r="U619" s="1650">
        <v>130</v>
      </c>
      <c r="V619" s="1651">
        <v>70000</v>
      </c>
      <c r="W619" s="1369">
        <v>585</v>
      </c>
      <c r="X619" s="1648"/>
      <c r="Y619" s="1649" t="s">
        <v>1151</v>
      </c>
    </row>
    <row r="620" spans="2:25" ht="63.75" x14ac:dyDescent="0.25">
      <c r="B620" s="2088"/>
      <c r="C620" s="2086"/>
      <c r="D620" s="1646"/>
      <c r="E620" s="1646"/>
      <c r="F620" s="1646"/>
      <c r="G620" s="1369" t="s">
        <v>339</v>
      </c>
      <c r="H620" s="1369" t="s">
        <v>340</v>
      </c>
      <c r="I620" s="1557" t="s">
        <v>327</v>
      </c>
      <c r="J620" s="1369">
        <v>33</v>
      </c>
      <c r="K620" s="1369">
        <v>120</v>
      </c>
      <c r="L620" s="1648">
        <f>SUM(L621)</f>
        <v>70000</v>
      </c>
      <c r="M620" s="1648">
        <v>130</v>
      </c>
      <c r="N620" s="1648">
        <f>SUM(N621)</f>
        <v>125000</v>
      </c>
      <c r="O620" s="1648">
        <v>150</v>
      </c>
      <c r="P620" s="1648">
        <f>SUM(P621)</f>
        <v>150000</v>
      </c>
      <c r="Q620" s="1648">
        <v>155</v>
      </c>
      <c r="R620" s="1648">
        <f>SUM(R621)</f>
        <v>175000</v>
      </c>
      <c r="S620" s="1648">
        <v>180</v>
      </c>
      <c r="T620" s="1648">
        <f>SUM(T621)</f>
        <v>180000</v>
      </c>
      <c r="U620" s="1648">
        <v>180</v>
      </c>
      <c r="V620" s="1648">
        <f>SUM(V621)</f>
        <v>180000</v>
      </c>
      <c r="W620" s="1369">
        <v>735</v>
      </c>
      <c r="X620" s="1648"/>
      <c r="Y620" s="1649" t="s">
        <v>1151</v>
      </c>
    </row>
    <row r="621" spans="2:25" ht="76.5" x14ac:dyDescent="0.25">
      <c r="B621" s="2088"/>
      <c r="C621" s="1646"/>
      <c r="D621" s="1646"/>
      <c r="E621" s="1646"/>
      <c r="F621" s="1646"/>
      <c r="G621" s="1369" t="s">
        <v>341</v>
      </c>
      <c r="H621" s="1369" t="s">
        <v>342</v>
      </c>
      <c r="I621" s="1557" t="s">
        <v>327</v>
      </c>
      <c r="J621" s="1369">
        <v>33</v>
      </c>
      <c r="K621" s="1369">
        <v>120</v>
      </c>
      <c r="L621" s="1651">
        <v>70000</v>
      </c>
      <c r="M621" s="1650">
        <v>130</v>
      </c>
      <c r="N621" s="1651">
        <v>125000</v>
      </c>
      <c r="O621" s="1650">
        <v>150</v>
      </c>
      <c r="P621" s="1651">
        <v>150000</v>
      </c>
      <c r="Q621" s="1650">
        <v>155</v>
      </c>
      <c r="R621" s="1651">
        <v>175000</v>
      </c>
      <c r="S621" s="1650">
        <v>180</v>
      </c>
      <c r="T621" s="1651">
        <v>180000</v>
      </c>
      <c r="U621" s="1650">
        <v>180</v>
      </c>
      <c r="V621" s="1651">
        <v>180000</v>
      </c>
      <c r="W621" s="1369">
        <v>735</v>
      </c>
      <c r="X621" s="1648"/>
      <c r="Y621" s="1649" t="s">
        <v>1151</v>
      </c>
    </row>
    <row r="622" spans="2:25" ht="51" x14ac:dyDescent="0.25">
      <c r="B622" s="2088"/>
      <c r="C622" s="1646"/>
      <c r="D622" s="1646"/>
      <c r="E622" s="1646"/>
      <c r="F622" s="1646"/>
      <c r="G622" s="1369" t="s">
        <v>349</v>
      </c>
      <c r="H622" s="1369" t="s">
        <v>350</v>
      </c>
      <c r="I622" s="1557" t="s">
        <v>97</v>
      </c>
      <c r="J622" s="1369">
        <v>132</v>
      </c>
      <c r="K622" s="1369">
        <v>70</v>
      </c>
      <c r="L622" s="1652">
        <f>SUM(L623:L633)</f>
        <v>645900</v>
      </c>
      <c r="M622" s="1369">
        <v>76</v>
      </c>
      <c r="N622" s="1652">
        <f>SUM(N623:N633)</f>
        <v>545100</v>
      </c>
      <c r="O622" s="1369">
        <v>76</v>
      </c>
      <c r="P622" s="1652">
        <f>SUM(P623:P633)</f>
        <v>760000</v>
      </c>
      <c r="Q622" s="1369">
        <v>76</v>
      </c>
      <c r="R622" s="1652">
        <f>SUM(R623:R633)</f>
        <v>880000</v>
      </c>
      <c r="S622" s="1369">
        <v>34</v>
      </c>
      <c r="T622" s="1652">
        <f>SUM(T623:T633)</f>
        <v>1010000</v>
      </c>
      <c r="U622" s="1369">
        <v>34</v>
      </c>
      <c r="V622" s="1652">
        <f>SUM(V623:V633)</f>
        <v>1020000</v>
      </c>
      <c r="W622" s="1369">
        <v>332</v>
      </c>
      <c r="X622" s="1648"/>
      <c r="Y622" s="1649" t="s">
        <v>1151</v>
      </c>
    </row>
    <row r="623" spans="2:25" ht="63.75" x14ac:dyDescent="0.25">
      <c r="B623" s="2088"/>
      <c r="C623" s="1646"/>
      <c r="D623" s="1646"/>
      <c r="E623" s="1646"/>
      <c r="F623" s="1646"/>
      <c r="G623" s="1659" t="s">
        <v>351</v>
      </c>
      <c r="H623" s="1369" t="s">
        <v>352</v>
      </c>
      <c r="I623" s="1557" t="s">
        <v>97</v>
      </c>
      <c r="J623" s="1650">
        <v>132</v>
      </c>
      <c r="K623" s="1650">
        <v>70</v>
      </c>
      <c r="L623" s="1651">
        <v>64000</v>
      </c>
      <c r="M623" s="1650">
        <v>76</v>
      </c>
      <c r="N623" s="1651">
        <v>150000</v>
      </c>
      <c r="O623" s="1650">
        <v>76</v>
      </c>
      <c r="P623" s="1651">
        <v>200000</v>
      </c>
      <c r="Q623" s="1650">
        <v>76</v>
      </c>
      <c r="R623" s="1651">
        <v>250000</v>
      </c>
      <c r="S623" s="1650">
        <v>34</v>
      </c>
      <c r="T623" s="1651">
        <v>300000</v>
      </c>
      <c r="U623" s="1650">
        <v>34</v>
      </c>
      <c r="V623" s="1651">
        <v>300000</v>
      </c>
      <c r="W623" s="1650">
        <v>332</v>
      </c>
      <c r="X623" s="1648"/>
      <c r="Y623" s="1649" t="s">
        <v>1151</v>
      </c>
    </row>
    <row r="624" spans="2:25" ht="38.25" x14ac:dyDescent="0.25">
      <c r="B624" s="1757"/>
      <c r="C624" s="1646"/>
      <c r="D624" s="1646"/>
      <c r="E624" s="1646"/>
      <c r="F624" s="1646"/>
      <c r="G624" s="1659" t="s">
        <v>353</v>
      </c>
      <c r="H624" s="1369" t="s">
        <v>354</v>
      </c>
      <c r="I624" s="1557" t="s">
        <v>355</v>
      </c>
      <c r="J624" s="1650">
        <v>0</v>
      </c>
      <c r="K624" s="1369">
        <v>2</v>
      </c>
      <c r="L624" s="1647">
        <v>39400</v>
      </c>
      <c r="M624" s="1369">
        <v>2</v>
      </c>
      <c r="N624" s="1647">
        <v>75000</v>
      </c>
      <c r="O624" s="1369">
        <v>2</v>
      </c>
      <c r="P624" s="1647">
        <v>75000</v>
      </c>
      <c r="Q624" s="1369">
        <v>2</v>
      </c>
      <c r="R624" s="1647">
        <v>75000</v>
      </c>
      <c r="S624" s="1369">
        <v>2</v>
      </c>
      <c r="T624" s="1647">
        <v>75000</v>
      </c>
      <c r="U624" s="1369">
        <v>2</v>
      </c>
      <c r="V624" s="1647">
        <v>75000</v>
      </c>
      <c r="W624" s="1369">
        <v>10</v>
      </c>
      <c r="X624" s="1648"/>
      <c r="Y624" s="1649" t="s">
        <v>1151</v>
      </c>
    </row>
    <row r="625" spans="2:25" ht="63.75" x14ac:dyDescent="0.25">
      <c r="B625" s="1757"/>
      <c r="C625" s="1646"/>
      <c r="D625" s="1646"/>
      <c r="E625" s="1646"/>
      <c r="F625" s="1646"/>
      <c r="G625" s="1659" t="s">
        <v>356</v>
      </c>
      <c r="H625" s="1369" t="s">
        <v>357</v>
      </c>
      <c r="I625" s="1557" t="s">
        <v>327</v>
      </c>
      <c r="J625" s="1369">
        <v>1</v>
      </c>
      <c r="K625" s="1369">
        <v>1</v>
      </c>
      <c r="L625" s="1647">
        <v>30000</v>
      </c>
      <c r="M625" s="1369">
        <v>1</v>
      </c>
      <c r="N625" s="1647">
        <v>45000</v>
      </c>
      <c r="O625" s="1369">
        <v>1</v>
      </c>
      <c r="P625" s="1647">
        <v>60000</v>
      </c>
      <c r="Q625" s="1369">
        <v>1</v>
      </c>
      <c r="R625" s="1647">
        <v>75000</v>
      </c>
      <c r="S625" s="1369">
        <v>1</v>
      </c>
      <c r="T625" s="1647">
        <v>100000</v>
      </c>
      <c r="U625" s="1369">
        <v>1</v>
      </c>
      <c r="V625" s="1647">
        <v>100000</v>
      </c>
      <c r="W625" s="1369">
        <v>5</v>
      </c>
      <c r="X625" s="1648"/>
      <c r="Y625" s="1649" t="s">
        <v>1151</v>
      </c>
    </row>
    <row r="626" spans="2:25" ht="51" x14ac:dyDescent="0.25">
      <c r="B626" s="1757"/>
      <c r="C626" s="1646"/>
      <c r="D626" s="1646"/>
      <c r="E626" s="1646"/>
      <c r="F626" s="1646"/>
      <c r="G626" s="1659" t="s">
        <v>358</v>
      </c>
      <c r="H626" s="1369" t="s">
        <v>359</v>
      </c>
      <c r="I626" s="1557" t="s">
        <v>327</v>
      </c>
      <c r="J626" s="1369">
        <v>27</v>
      </c>
      <c r="K626" s="1369">
        <v>27</v>
      </c>
      <c r="L626" s="1647">
        <v>70000</v>
      </c>
      <c r="M626" s="1369">
        <v>27</v>
      </c>
      <c r="N626" s="1647">
        <v>100</v>
      </c>
      <c r="O626" s="1369">
        <v>27</v>
      </c>
      <c r="P626" s="1647">
        <v>125000</v>
      </c>
      <c r="Q626" s="1369">
        <v>27</v>
      </c>
      <c r="R626" s="1647">
        <v>150000</v>
      </c>
      <c r="S626" s="1369">
        <v>27</v>
      </c>
      <c r="T626" s="1647">
        <v>175000</v>
      </c>
      <c r="U626" s="1369">
        <v>27</v>
      </c>
      <c r="V626" s="1647">
        <v>175000</v>
      </c>
      <c r="W626" s="1369">
        <v>135</v>
      </c>
      <c r="X626" s="1648"/>
      <c r="Y626" s="1649" t="s">
        <v>1151</v>
      </c>
    </row>
    <row r="627" spans="2:25" ht="63.75" x14ac:dyDescent="0.25">
      <c r="B627" s="1757"/>
      <c r="C627" s="1646"/>
      <c r="D627" s="1646"/>
      <c r="E627" s="1646"/>
      <c r="F627" s="1646"/>
      <c r="G627" s="1659" t="s">
        <v>360</v>
      </c>
      <c r="H627" s="1369" t="s">
        <v>361</v>
      </c>
      <c r="I627" s="1557" t="s">
        <v>19</v>
      </c>
      <c r="J627" s="1369">
        <v>100</v>
      </c>
      <c r="K627" s="1369">
        <v>100</v>
      </c>
      <c r="L627" s="1647">
        <v>20000</v>
      </c>
      <c r="M627" s="1369">
        <v>100</v>
      </c>
      <c r="N627" s="1647">
        <v>30000</v>
      </c>
      <c r="O627" s="1369">
        <v>100</v>
      </c>
      <c r="P627" s="1647">
        <v>40000</v>
      </c>
      <c r="Q627" s="1369">
        <v>100</v>
      </c>
      <c r="R627" s="1647">
        <v>50000</v>
      </c>
      <c r="S627" s="1369">
        <v>100</v>
      </c>
      <c r="T627" s="1647">
        <v>60000</v>
      </c>
      <c r="U627" s="1369">
        <v>100</v>
      </c>
      <c r="V627" s="1647">
        <v>60000</v>
      </c>
      <c r="W627" s="1369">
        <v>500</v>
      </c>
      <c r="X627" s="1648"/>
      <c r="Y627" s="1649" t="s">
        <v>1151</v>
      </c>
    </row>
    <row r="628" spans="2:25" ht="51" x14ac:dyDescent="0.25">
      <c r="B628" s="1757"/>
      <c r="C628" s="1646"/>
      <c r="D628" s="1646"/>
      <c r="E628" s="1646"/>
      <c r="F628" s="1646"/>
      <c r="G628" s="1369" t="s">
        <v>362</v>
      </c>
      <c r="H628" s="1369" t="s">
        <v>363</v>
      </c>
      <c r="I628" s="1557" t="s">
        <v>364</v>
      </c>
      <c r="J628" s="1369">
        <v>50</v>
      </c>
      <c r="K628" s="1650">
        <v>120</v>
      </c>
      <c r="L628" s="1651">
        <v>120000</v>
      </c>
      <c r="M628" s="1650">
        <v>130</v>
      </c>
      <c r="N628" s="1651">
        <v>125000</v>
      </c>
      <c r="O628" s="1650">
        <v>140</v>
      </c>
      <c r="P628" s="1651">
        <v>130000</v>
      </c>
      <c r="Q628" s="1650">
        <v>150</v>
      </c>
      <c r="R628" s="1651">
        <v>140000</v>
      </c>
      <c r="S628" s="1650">
        <v>150</v>
      </c>
      <c r="T628" s="1660">
        <v>150000</v>
      </c>
      <c r="U628" s="1650">
        <v>150</v>
      </c>
      <c r="V628" s="1660">
        <v>160000</v>
      </c>
      <c r="W628" s="1369">
        <v>690</v>
      </c>
      <c r="X628" s="1648"/>
      <c r="Y628" s="1649" t="s">
        <v>1151</v>
      </c>
    </row>
    <row r="629" spans="2:25" ht="63.75" x14ac:dyDescent="0.25">
      <c r="B629" s="1757"/>
      <c r="C629" s="1646"/>
      <c r="D629" s="1646"/>
      <c r="E629" s="1646"/>
      <c r="F629" s="1646"/>
      <c r="G629" s="1369" t="s">
        <v>365</v>
      </c>
      <c r="H629" s="1369" t="s">
        <v>366</v>
      </c>
      <c r="I629" s="1557" t="s">
        <v>327</v>
      </c>
      <c r="J629" s="1369">
        <v>10</v>
      </c>
      <c r="K629" s="1650">
        <v>4</v>
      </c>
      <c r="L629" s="1651">
        <v>65000</v>
      </c>
      <c r="M629" s="1650">
        <v>4</v>
      </c>
      <c r="N629" s="1651">
        <v>60000</v>
      </c>
      <c r="O629" s="1650">
        <v>4</v>
      </c>
      <c r="P629" s="1651">
        <v>65000</v>
      </c>
      <c r="Q629" s="1650">
        <v>5</v>
      </c>
      <c r="R629" s="1651">
        <v>70000</v>
      </c>
      <c r="S629" s="1650">
        <v>5</v>
      </c>
      <c r="T629" s="1651">
        <v>75000</v>
      </c>
      <c r="U629" s="1650">
        <v>5</v>
      </c>
      <c r="V629" s="1651">
        <v>75000</v>
      </c>
      <c r="W629" s="1369">
        <v>22</v>
      </c>
      <c r="X629" s="1648"/>
      <c r="Y629" s="1649" t="s">
        <v>1151</v>
      </c>
    </row>
    <row r="630" spans="2:25" ht="38.25" x14ac:dyDescent="0.25">
      <c r="B630" s="1757"/>
      <c r="C630" s="1646"/>
      <c r="D630" s="1646"/>
      <c r="E630" s="1646"/>
      <c r="F630" s="1646"/>
      <c r="G630" s="1369" t="s">
        <v>367</v>
      </c>
      <c r="H630" s="1369" t="s">
        <v>368</v>
      </c>
      <c r="I630" s="1557" t="s">
        <v>369</v>
      </c>
      <c r="J630" s="1369">
        <v>0</v>
      </c>
      <c r="K630" s="1650">
        <v>1</v>
      </c>
      <c r="L630" s="1651">
        <v>140000</v>
      </c>
      <c r="M630" s="1650"/>
      <c r="N630" s="1651">
        <v>0</v>
      </c>
      <c r="O630" s="1650"/>
      <c r="P630" s="1651">
        <v>0</v>
      </c>
      <c r="Q630" s="1650"/>
      <c r="R630" s="1651">
        <v>0</v>
      </c>
      <c r="S630" s="1650"/>
      <c r="T630" s="1651">
        <v>0</v>
      </c>
      <c r="U630" s="1650"/>
      <c r="V630" s="1651">
        <v>0</v>
      </c>
      <c r="W630" s="1369">
        <v>1</v>
      </c>
      <c r="X630" s="1648"/>
      <c r="Y630" s="1649" t="s">
        <v>1151</v>
      </c>
    </row>
    <row r="631" spans="2:25" ht="25.5" x14ac:dyDescent="0.25">
      <c r="B631" s="1757"/>
      <c r="C631" s="1646"/>
      <c r="D631" s="1646"/>
      <c r="E631" s="1646"/>
      <c r="F631" s="1646"/>
      <c r="G631" s="1369" t="s">
        <v>370</v>
      </c>
      <c r="H631" s="1369" t="s">
        <v>371</v>
      </c>
      <c r="I631" s="1557" t="s">
        <v>327</v>
      </c>
      <c r="J631" s="1369"/>
      <c r="K631" s="1650">
        <v>35</v>
      </c>
      <c r="L631" s="1647">
        <v>97500</v>
      </c>
      <c r="M631" s="1650">
        <v>35</v>
      </c>
      <c r="N631" s="1647">
        <v>60000</v>
      </c>
      <c r="O631" s="1650">
        <v>35</v>
      </c>
      <c r="P631" s="1647">
        <v>65000</v>
      </c>
      <c r="Q631" s="1650">
        <v>61</v>
      </c>
      <c r="R631" s="1647">
        <v>70000</v>
      </c>
      <c r="S631" s="1650">
        <v>61</v>
      </c>
      <c r="T631" s="1647">
        <v>75000</v>
      </c>
      <c r="U631" s="1650"/>
      <c r="V631" s="1647">
        <v>75000</v>
      </c>
      <c r="W631" s="1369">
        <v>227</v>
      </c>
      <c r="X631" s="1648"/>
      <c r="Y631" s="1649" t="s">
        <v>1151</v>
      </c>
    </row>
    <row r="632" spans="2:25" ht="25.5" x14ac:dyDescent="0.25">
      <c r="B632" s="1757"/>
      <c r="C632" s="1646"/>
      <c r="D632" s="1646"/>
      <c r="E632" s="1646"/>
      <c r="F632" s="1646"/>
      <c r="G632" s="1369"/>
      <c r="H632" s="1369" t="s">
        <v>372</v>
      </c>
      <c r="I632" s="1557" t="s">
        <v>327</v>
      </c>
      <c r="J632" s="1369"/>
      <c r="K632" s="1650">
        <v>1</v>
      </c>
      <c r="L632" s="1647">
        <v>0</v>
      </c>
      <c r="M632" s="1650">
        <v>1</v>
      </c>
      <c r="N632" s="1647">
        <v>0</v>
      </c>
      <c r="O632" s="1650">
        <v>1</v>
      </c>
      <c r="P632" s="1647">
        <v>0</v>
      </c>
      <c r="Q632" s="1650">
        <v>1</v>
      </c>
      <c r="R632" s="1647">
        <v>0</v>
      </c>
      <c r="S632" s="1650">
        <v>1</v>
      </c>
      <c r="T632" s="1647">
        <v>0</v>
      </c>
      <c r="U632" s="1650"/>
      <c r="V632" s="1647">
        <v>0</v>
      </c>
      <c r="W632" s="1369">
        <v>5</v>
      </c>
      <c r="X632" s="1648"/>
      <c r="Y632" s="1649" t="s">
        <v>1151</v>
      </c>
    </row>
    <row r="633" spans="2:25" ht="25.5" x14ac:dyDescent="0.25">
      <c r="B633" s="1757"/>
      <c r="C633" s="1646"/>
      <c r="D633" s="1646"/>
      <c r="E633" s="1646"/>
      <c r="F633" s="1646"/>
      <c r="G633" s="1369"/>
      <c r="H633" s="1369" t="s">
        <v>373</v>
      </c>
      <c r="I633" s="1557" t="s">
        <v>327</v>
      </c>
      <c r="J633" s="1369"/>
      <c r="K633" s="1650">
        <v>26</v>
      </c>
      <c r="L633" s="1647">
        <v>0</v>
      </c>
      <c r="M633" s="1650">
        <v>52</v>
      </c>
      <c r="N633" s="1647">
        <v>0</v>
      </c>
      <c r="O633" s="1650">
        <v>52</v>
      </c>
      <c r="P633" s="1647">
        <v>0</v>
      </c>
      <c r="Q633" s="1650">
        <v>78</v>
      </c>
      <c r="R633" s="1647">
        <v>0</v>
      </c>
      <c r="S633" s="1650">
        <v>78</v>
      </c>
      <c r="T633" s="1647">
        <v>0</v>
      </c>
      <c r="U633" s="1650"/>
      <c r="V633" s="1647">
        <v>0</v>
      </c>
      <c r="W633" s="1369">
        <v>286</v>
      </c>
      <c r="X633" s="1648"/>
      <c r="Y633" s="1649" t="s">
        <v>1151</v>
      </c>
    </row>
    <row r="634" spans="2:25" ht="63.75" x14ac:dyDescent="0.25">
      <c r="B634" s="1757"/>
      <c r="C634" s="1646"/>
      <c r="D634" s="1646"/>
      <c r="E634" s="1646"/>
      <c r="F634" s="1646"/>
      <c r="G634" s="1369" t="s">
        <v>374</v>
      </c>
      <c r="H634" s="1369" t="s">
        <v>375</v>
      </c>
      <c r="I634" s="1557" t="s">
        <v>376</v>
      </c>
      <c r="J634" s="1369">
        <v>31</v>
      </c>
      <c r="K634" s="1650">
        <v>31</v>
      </c>
      <c r="L634" s="1651">
        <f>SUM(L635:L636)</f>
        <v>100000</v>
      </c>
      <c r="M634" s="1650">
        <v>31</v>
      </c>
      <c r="N634" s="1651">
        <f>SUM(N635:N636)</f>
        <v>60000</v>
      </c>
      <c r="O634" s="1650">
        <v>31</v>
      </c>
      <c r="P634" s="1651">
        <f>SUM(P635:P636)</f>
        <v>65000</v>
      </c>
      <c r="Q634" s="1650">
        <v>31</v>
      </c>
      <c r="R634" s="1651">
        <f>SUM(R635:R636)</f>
        <v>70000</v>
      </c>
      <c r="S634" s="1650">
        <v>31</v>
      </c>
      <c r="T634" s="1651">
        <f>SUM(T635:T636)</f>
        <v>75000</v>
      </c>
      <c r="U634" s="1650">
        <v>31</v>
      </c>
      <c r="V634" s="1651">
        <f>SUM(V635:V636)</f>
        <v>75000</v>
      </c>
      <c r="W634" s="1369">
        <v>155</v>
      </c>
      <c r="X634" s="1648"/>
      <c r="Y634" s="1649" t="s">
        <v>1151</v>
      </c>
    </row>
    <row r="635" spans="2:25" ht="63.75" x14ac:dyDescent="0.25">
      <c r="B635" s="1757"/>
      <c r="C635" s="1646"/>
      <c r="D635" s="1646"/>
      <c r="E635" s="1646"/>
      <c r="F635" s="1646"/>
      <c r="G635" s="1369" t="s">
        <v>377</v>
      </c>
      <c r="H635" s="1369" t="s">
        <v>378</v>
      </c>
      <c r="I635" s="1557" t="s">
        <v>327</v>
      </c>
      <c r="J635" s="1369">
        <v>26</v>
      </c>
      <c r="K635" s="1650">
        <v>26</v>
      </c>
      <c r="L635" s="1651">
        <v>70000</v>
      </c>
      <c r="M635" s="1650">
        <v>26</v>
      </c>
      <c r="N635" s="1651">
        <v>25000</v>
      </c>
      <c r="O635" s="1650">
        <v>26</v>
      </c>
      <c r="P635" s="1651">
        <v>25000</v>
      </c>
      <c r="Q635" s="1650">
        <v>26</v>
      </c>
      <c r="R635" s="1651">
        <v>25000</v>
      </c>
      <c r="S635" s="1650">
        <v>26</v>
      </c>
      <c r="T635" s="1651">
        <v>25000</v>
      </c>
      <c r="U635" s="1650">
        <v>26</v>
      </c>
      <c r="V635" s="1651">
        <v>25000</v>
      </c>
      <c r="W635" s="1369">
        <v>130</v>
      </c>
      <c r="X635" s="1648"/>
      <c r="Y635" s="1649" t="s">
        <v>1151</v>
      </c>
    </row>
    <row r="636" spans="2:25" ht="140.25" x14ac:dyDescent="0.25">
      <c r="B636" s="1757"/>
      <c r="C636" s="1646"/>
      <c r="D636" s="1646"/>
      <c r="E636" s="1646"/>
      <c r="F636" s="1646"/>
      <c r="G636" s="1369" t="s">
        <v>379</v>
      </c>
      <c r="H636" s="1369" t="s">
        <v>380</v>
      </c>
      <c r="I636" s="1557" t="s">
        <v>381</v>
      </c>
      <c r="J636" s="1369">
        <v>30</v>
      </c>
      <c r="K636" s="1369">
        <v>30</v>
      </c>
      <c r="L636" s="1651">
        <v>30000</v>
      </c>
      <c r="M636" s="1369">
        <v>40</v>
      </c>
      <c r="N636" s="1651">
        <v>35000</v>
      </c>
      <c r="O636" s="1369">
        <v>40</v>
      </c>
      <c r="P636" s="1651">
        <v>40000</v>
      </c>
      <c r="Q636" s="1369">
        <v>65</v>
      </c>
      <c r="R636" s="1651">
        <v>45000</v>
      </c>
      <c r="S636" s="1369">
        <v>65</v>
      </c>
      <c r="T636" s="1651">
        <v>50000</v>
      </c>
      <c r="U636" s="1369">
        <v>65</v>
      </c>
      <c r="V636" s="1651">
        <v>50000</v>
      </c>
      <c r="W636" s="1369">
        <v>240</v>
      </c>
      <c r="X636" s="1648"/>
      <c r="Y636" s="1649" t="s">
        <v>1151</v>
      </c>
    </row>
    <row r="637" spans="2:25" ht="89.25" x14ac:dyDescent="0.25">
      <c r="B637" s="1757"/>
      <c r="C637" s="1646"/>
      <c r="D637" s="1646"/>
      <c r="E637" s="1646"/>
      <c r="F637" s="1646"/>
      <c r="G637" s="1369" t="s">
        <v>382</v>
      </c>
      <c r="H637" s="1369" t="s">
        <v>3144</v>
      </c>
      <c r="I637" s="1557" t="s">
        <v>75</v>
      </c>
      <c r="J637" s="1369">
        <v>75</v>
      </c>
      <c r="K637" s="1650">
        <v>75</v>
      </c>
      <c r="L637" s="1660">
        <f>SUM(L638)</f>
        <v>545000</v>
      </c>
      <c r="M637" s="1660">
        <v>75</v>
      </c>
      <c r="N637" s="1660">
        <f>SUM(N638)</f>
        <v>545000</v>
      </c>
      <c r="O637" s="1660">
        <v>75</v>
      </c>
      <c r="P637" s="1660">
        <f>SUM(P638)</f>
        <v>545000</v>
      </c>
      <c r="Q637" s="1660">
        <v>75</v>
      </c>
      <c r="R637" s="1660">
        <f>SUM(R638)</f>
        <v>545000</v>
      </c>
      <c r="S637" s="1660">
        <v>75</v>
      </c>
      <c r="T637" s="1660">
        <f>SUM(T638)</f>
        <v>545000</v>
      </c>
      <c r="U637" s="1660">
        <v>75</v>
      </c>
      <c r="V637" s="1660">
        <f>SUM(V638)</f>
        <v>545000</v>
      </c>
      <c r="W637" s="1369">
        <v>375</v>
      </c>
      <c r="X637" s="1648"/>
      <c r="Y637" s="1649" t="s">
        <v>1151</v>
      </c>
    </row>
    <row r="638" spans="2:25" ht="51" x14ac:dyDescent="0.25">
      <c r="B638" s="1757"/>
      <c r="C638" s="1646"/>
      <c r="D638" s="1658"/>
      <c r="E638" s="1658"/>
      <c r="F638" s="1658"/>
      <c r="G638" s="1369" t="s">
        <v>383</v>
      </c>
      <c r="H638" s="1369" t="s">
        <v>384</v>
      </c>
      <c r="I638" s="1557" t="s">
        <v>327</v>
      </c>
      <c r="J638" s="1369"/>
      <c r="K638" s="1650">
        <v>75</v>
      </c>
      <c r="L638" s="1651">
        <v>545000</v>
      </c>
      <c r="M638" s="1650">
        <v>75</v>
      </c>
      <c r="N638" s="1651">
        <v>545000</v>
      </c>
      <c r="O638" s="1650">
        <v>75</v>
      </c>
      <c r="P638" s="1651">
        <v>545000</v>
      </c>
      <c r="Q638" s="1650">
        <v>75</v>
      </c>
      <c r="R638" s="1651">
        <v>545000</v>
      </c>
      <c r="S638" s="1650">
        <v>75</v>
      </c>
      <c r="T638" s="1651">
        <v>545000</v>
      </c>
      <c r="U638" s="1650">
        <v>75</v>
      </c>
      <c r="V638" s="1651">
        <v>545000</v>
      </c>
      <c r="W638" s="1369">
        <v>375</v>
      </c>
      <c r="X638" s="1648"/>
      <c r="Y638" s="1649" t="s">
        <v>1151</v>
      </c>
    </row>
    <row r="639" spans="2:25" x14ac:dyDescent="0.25">
      <c r="B639" s="1757"/>
      <c r="C639" s="1646"/>
      <c r="D639" s="1658"/>
      <c r="E639" s="1658"/>
      <c r="F639" s="1658"/>
      <c r="G639" s="1369"/>
      <c r="H639" s="1369"/>
      <c r="I639" s="1557"/>
      <c r="J639" s="1369"/>
      <c r="K639" s="1650"/>
      <c r="L639" s="1651"/>
      <c r="M639" s="1650"/>
      <c r="N639" s="1651"/>
      <c r="O639" s="1650"/>
      <c r="P639" s="1651"/>
      <c r="Q639" s="1650"/>
      <c r="R639" s="1651"/>
      <c r="S639" s="1650"/>
      <c r="T639" s="1651"/>
      <c r="U639" s="1650"/>
      <c r="V639" s="1651"/>
      <c r="W639" s="1369"/>
      <c r="X639" s="1648"/>
      <c r="Y639" s="1649"/>
    </row>
    <row r="640" spans="2:25" ht="51" customHeight="1" x14ac:dyDescent="0.25">
      <c r="B640" s="232"/>
      <c r="C640" s="232"/>
      <c r="D640" s="1369" t="s">
        <v>3920</v>
      </c>
      <c r="E640" s="1369" t="s">
        <v>3918</v>
      </c>
      <c r="F640" s="1369" t="s">
        <v>3834</v>
      </c>
      <c r="G640" s="1737" t="s">
        <v>3917</v>
      </c>
      <c r="H640" s="1369"/>
      <c r="I640" s="1473" t="s">
        <v>19</v>
      </c>
      <c r="J640" s="1607">
        <v>0</v>
      </c>
      <c r="K640" s="1607">
        <v>84.7</v>
      </c>
      <c r="L640" s="1607"/>
      <c r="M640" s="1607">
        <v>84.75</v>
      </c>
      <c r="N640" s="1607"/>
      <c r="O640" s="1607">
        <v>84.8</v>
      </c>
      <c r="P640" s="1607"/>
      <c r="Q640" s="1607">
        <v>84.9</v>
      </c>
      <c r="R640" s="1270"/>
      <c r="S640" s="1607">
        <v>85.1</v>
      </c>
      <c r="T640" s="1270"/>
      <c r="U640" s="1607">
        <v>85.5</v>
      </c>
      <c r="V640" s="1270"/>
      <c r="W640" s="1607">
        <v>85.5</v>
      </c>
      <c r="X640" s="1369"/>
      <c r="Y640" s="1645" t="s">
        <v>1151</v>
      </c>
    </row>
    <row r="641" spans="2:25" ht="38.25" x14ac:dyDescent="0.25">
      <c r="B641" s="1757"/>
      <c r="C641" s="1646"/>
      <c r="D641" s="1646"/>
      <c r="E641" s="1646"/>
      <c r="F641" s="1646"/>
      <c r="G641" s="1369" t="s">
        <v>315</v>
      </c>
      <c r="H641" s="1369" t="s">
        <v>316</v>
      </c>
      <c r="I641" s="1557" t="s">
        <v>19</v>
      </c>
      <c r="J641" s="1369"/>
      <c r="K641" s="1369">
        <v>100</v>
      </c>
      <c r="L641" s="1647">
        <f>SUM(L642:L650)</f>
        <v>4159539</v>
      </c>
      <c r="M641" s="1369">
        <v>100</v>
      </c>
      <c r="N641" s="1647">
        <f>SUM(N642:N650)</f>
        <v>4189539</v>
      </c>
      <c r="O641" s="1369">
        <v>100</v>
      </c>
      <c r="P641" s="1647">
        <f>SUM(P642:P650)</f>
        <v>4194539</v>
      </c>
      <c r="Q641" s="1369">
        <v>100</v>
      </c>
      <c r="R641" s="1647">
        <f>SUM(R642:R650)</f>
        <v>4204539</v>
      </c>
      <c r="S641" s="1369">
        <v>100</v>
      </c>
      <c r="T641" s="1647">
        <f>SUM(T642:T650)</f>
        <v>4214539</v>
      </c>
      <c r="U641" s="1369">
        <v>100</v>
      </c>
      <c r="V641" s="1647">
        <f>SUM(V642:V650)</f>
        <v>4224539</v>
      </c>
      <c r="W641" s="1369">
        <v>500</v>
      </c>
      <c r="X641" s="1648"/>
      <c r="Y641" s="1649" t="s">
        <v>1151</v>
      </c>
    </row>
    <row r="642" spans="2:25" ht="51" x14ac:dyDescent="0.25">
      <c r="B642" s="1757"/>
      <c r="C642" s="1646"/>
      <c r="D642" s="1646"/>
      <c r="E642" s="1646"/>
      <c r="F642" s="1646"/>
      <c r="G642" s="1369" t="s">
        <v>317</v>
      </c>
      <c r="H642" s="1369" t="s">
        <v>318</v>
      </c>
      <c r="I642" s="1557" t="s">
        <v>75</v>
      </c>
      <c r="J642" s="1369"/>
      <c r="K642" s="1369">
        <v>2</v>
      </c>
      <c r="L642" s="1647">
        <v>2214539</v>
      </c>
      <c r="M642" s="1369"/>
      <c r="N642" s="1647">
        <v>2214539</v>
      </c>
      <c r="O642" s="1369"/>
      <c r="P642" s="1647">
        <v>2214539</v>
      </c>
      <c r="Q642" s="1369"/>
      <c r="R642" s="1647">
        <v>2214539</v>
      </c>
      <c r="S642" s="1369"/>
      <c r="T642" s="1647">
        <v>2214539</v>
      </c>
      <c r="U642" s="1369"/>
      <c r="V642" s="1647">
        <v>2214539</v>
      </c>
      <c r="W642" s="1369">
        <v>2</v>
      </c>
      <c r="X642" s="1648"/>
      <c r="Y642" s="1649" t="s">
        <v>1151</v>
      </c>
    </row>
    <row r="643" spans="2:25" x14ac:dyDescent="0.25">
      <c r="B643" s="1757"/>
      <c r="C643" s="1646"/>
      <c r="D643" s="1646"/>
      <c r="E643" s="1646"/>
      <c r="F643" s="1646"/>
      <c r="G643" s="1369"/>
      <c r="H643" s="1369" t="s">
        <v>319</v>
      </c>
      <c r="I643" s="1557" t="s">
        <v>75</v>
      </c>
      <c r="J643" s="1369"/>
      <c r="K643" s="1650">
        <v>2</v>
      </c>
      <c r="L643" s="1647">
        <v>0</v>
      </c>
      <c r="M643" s="1369">
        <v>26</v>
      </c>
      <c r="N643" s="1647">
        <v>0</v>
      </c>
      <c r="O643" s="1650">
        <v>26</v>
      </c>
      <c r="P643" s="1647">
        <v>0</v>
      </c>
      <c r="Q643" s="1650">
        <v>26</v>
      </c>
      <c r="R643" s="1647">
        <v>0</v>
      </c>
      <c r="S643" s="1650">
        <v>26</v>
      </c>
      <c r="T643" s="1647">
        <v>0</v>
      </c>
      <c r="U643" s="1650">
        <v>26</v>
      </c>
      <c r="V643" s="1647">
        <v>0</v>
      </c>
      <c r="W643" s="1369">
        <v>106</v>
      </c>
      <c r="X643" s="1648"/>
      <c r="Y643" s="1649" t="s">
        <v>1151</v>
      </c>
    </row>
    <row r="644" spans="2:25" x14ac:dyDescent="0.25">
      <c r="B644" s="1757"/>
      <c r="C644" s="1646"/>
      <c r="D644" s="1646"/>
      <c r="E644" s="1646"/>
      <c r="F644" s="1646"/>
      <c r="G644" s="1369"/>
      <c r="H644" s="1369" t="s">
        <v>320</v>
      </c>
      <c r="I644" s="1557" t="s">
        <v>75</v>
      </c>
      <c r="J644" s="1369"/>
      <c r="K644" s="1650">
        <v>6</v>
      </c>
      <c r="L644" s="1647">
        <v>0</v>
      </c>
      <c r="M644" s="1369">
        <v>21</v>
      </c>
      <c r="N644" s="1647">
        <v>0</v>
      </c>
      <c r="O644" s="1369"/>
      <c r="P644" s="1647">
        <v>0</v>
      </c>
      <c r="Q644" s="1369"/>
      <c r="R644" s="1647">
        <v>0</v>
      </c>
      <c r="S644" s="1369"/>
      <c r="T644" s="1647">
        <v>0</v>
      </c>
      <c r="U644" s="1369"/>
      <c r="V644" s="1647">
        <v>0</v>
      </c>
      <c r="W644" s="1369">
        <v>27</v>
      </c>
      <c r="X644" s="1648"/>
      <c r="Y644" s="1649" t="s">
        <v>1151</v>
      </c>
    </row>
    <row r="645" spans="2:25" x14ac:dyDescent="0.25">
      <c r="B645" s="1757"/>
      <c r="C645" s="1646"/>
      <c r="D645" s="1646"/>
      <c r="E645" s="1646"/>
      <c r="F645" s="1646"/>
      <c r="G645" s="1369"/>
      <c r="H645" s="1369" t="s">
        <v>321</v>
      </c>
      <c r="I645" s="1557" t="s">
        <v>322</v>
      </c>
      <c r="J645" s="1369"/>
      <c r="K645" s="1369">
        <v>34</v>
      </c>
      <c r="L645" s="1647">
        <v>0</v>
      </c>
      <c r="M645" s="1369"/>
      <c r="N645" s="1647">
        <v>0</v>
      </c>
      <c r="O645" s="1369">
        <v>8</v>
      </c>
      <c r="P645" s="1647">
        <v>0</v>
      </c>
      <c r="Q645" s="1369">
        <v>10</v>
      </c>
      <c r="R645" s="1647">
        <v>0</v>
      </c>
      <c r="S645" s="1369">
        <v>12</v>
      </c>
      <c r="T645" s="1647">
        <v>0</v>
      </c>
      <c r="U645" s="1369">
        <v>12</v>
      </c>
      <c r="V645" s="1647">
        <v>0</v>
      </c>
      <c r="W645" s="1369">
        <v>64</v>
      </c>
      <c r="X645" s="1648"/>
      <c r="Y645" s="1649" t="s">
        <v>1151</v>
      </c>
    </row>
    <row r="646" spans="2:25" x14ac:dyDescent="0.25">
      <c r="B646" s="1757"/>
      <c r="C646" s="1646"/>
      <c r="D646" s="1646"/>
      <c r="E646" s="1646"/>
      <c r="F646" s="1646"/>
      <c r="G646" s="1369"/>
      <c r="H646" s="1369" t="s">
        <v>323</v>
      </c>
      <c r="I646" s="1557" t="s">
        <v>75</v>
      </c>
      <c r="J646" s="1369"/>
      <c r="K646" s="1650">
        <v>31</v>
      </c>
      <c r="L646" s="1647">
        <v>0</v>
      </c>
      <c r="M646" s="1650"/>
      <c r="N646" s="1647">
        <v>0</v>
      </c>
      <c r="O646" s="1369"/>
      <c r="P646" s="1647">
        <v>0</v>
      </c>
      <c r="Q646" s="1369"/>
      <c r="R646" s="1647">
        <v>0</v>
      </c>
      <c r="S646" s="1369"/>
      <c r="T646" s="1647">
        <v>0</v>
      </c>
      <c r="U646" s="1369"/>
      <c r="V646" s="1647">
        <v>0</v>
      </c>
      <c r="W646" s="1369">
        <v>31</v>
      </c>
      <c r="X646" s="1648"/>
      <c r="Y646" s="1649" t="s">
        <v>1151</v>
      </c>
    </row>
    <row r="647" spans="2:25" x14ac:dyDescent="0.25">
      <c r="B647" s="1757"/>
      <c r="C647" s="1646"/>
      <c r="D647" s="1646"/>
      <c r="E647" s="1646"/>
      <c r="F647" s="1646"/>
      <c r="G647" s="1369"/>
      <c r="H647" s="1369" t="s">
        <v>321</v>
      </c>
      <c r="I647" s="1557" t="s">
        <v>75</v>
      </c>
      <c r="J647" s="1369"/>
      <c r="K647" s="1369">
        <v>15</v>
      </c>
      <c r="L647" s="1647">
        <v>0</v>
      </c>
      <c r="M647" s="1650"/>
      <c r="N647" s="1647">
        <v>0</v>
      </c>
      <c r="O647" s="1369"/>
      <c r="P647" s="1647">
        <v>0</v>
      </c>
      <c r="Q647" s="1369"/>
      <c r="R647" s="1647">
        <v>0</v>
      </c>
      <c r="S647" s="1369"/>
      <c r="T647" s="1647">
        <v>0</v>
      </c>
      <c r="U647" s="1369"/>
      <c r="V647" s="1647">
        <v>0</v>
      </c>
      <c r="W647" s="1369">
        <v>15</v>
      </c>
      <c r="X647" s="1648"/>
      <c r="Y647" s="1649" t="s">
        <v>1151</v>
      </c>
    </row>
    <row r="648" spans="2:25" x14ac:dyDescent="0.25">
      <c r="B648" s="1757"/>
      <c r="C648" s="1646"/>
      <c r="D648" s="1646"/>
      <c r="E648" s="1646"/>
      <c r="F648" s="1646"/>
      <c r="G648" s="1369"/>
      <c r="H648" s="1369"/>
      <c r="I648" s="1557" t="s">
        <v>324</v>
      </c>
      <c r="J648" s="1369"/>
      <c r="K648" s="1369">
        <v>0</v>
      </c>
      <c r="L648" s="1651">
        <v>0</v>
      </c>
      <c r="M648" s="1369">
        <v>2</v>
      </c>
      <c r="N648" s="1647">
        <v>0</v>
      </c>
      <c r="O648" s="1369"/>
      <c r="P648" s="1647">
        <v>0</v>
      </c>
      <c r="Q648" s="1369"/>
      <c r="R648" s="1647">
        <v>0</v>
      </c>
      <c r="S648" s="1369"/>
      <c r="T648" s="1647">
        <v>0</v>
      </c>
      <c r="U648" s="1369"/>
      <c r="V648" s="1647">
        <v>0</v>
      </c>
      <c r="W648" s="1369"/>
      <c r="X648" s="1652"/>
      <c r="Y648" s="1649" t="s">
        <v>1151</v>
      </c>
    </row>
    <row r="649" spans="2:25" ht="76.5" x14ac:dyDescent="0.25">
      <c r="B649" s="1757"/>
      <c r="C649" s="1646"/>
      <c r="D649" s="1646"/>
      <c r="E649" s="1646"/>
      <c r="F649" s="1646"/>
      <c r="G649" s="1369" t="s">
        <v>325</v>
      </c>
      <c r="H649" s="1369" t="s">
        <v>326</v>
      </c>
      <c r="I649" s="1557" t="s">
        <v>327</v>
      </c>
      <c r="J649" s="1369">
        <v>2681</v>
      </c>
      <c r="K649" s="1369">
        <v>2681</v>
      </c>
      <c r="L649" s="1647">
        <v>1905000</v>
      </c>
      <c r="M649" s="1369">
        <v>2681</v>
      </c>
      <c r="N649" s="1653">
        <v>1910000</v>
      </c>
      <c r="O649" s="1369">
        <v>2681</v>
      </c>
      <c r="P649" s="1653">
        <v>1910000</v>
      </c>
      <c r="Q649" s="1369">
        <v>2681</v>
      </c>
      <c r="R649" s="1653">
        <v>1910000</v>
      </c>
      <c r="S649" s="1369">
        <v>2681</v>
      </c>
      <c r="T649" s="1653">
        <v>1910000</v>
      </c>
      <c r="U649" s="1369">
        <v>2681</v>
      </c>
      <c r="V649" s="1653">
        <v>1910000</v>
      </c>
      <c r="W649" s="1369">
        <v>13405</v>
      </c>
      <c r="X649" s="1648"/>
      <c r="Y649" s="1649" t="s">
        <v>1151</v>
      </c>
    </row>
    <row r="650" spans="2:25" ht="114.75" x14ac:dyDescent="0.25">
      <c r="B650" s="1757"/>
      <c r="C650" s="1646"/>
      <c r="D650" s="1646"/>
      <c r="E650" s="1646"/>
      <c r="F650" s="1646"/>
      <c r="G650" s="1369" t="s">
        <v>328</v>
      </c>
      <c r="H650" s="1654" t="s">
        <v>329</v>
      </c>
      <c r="I650" s="1655" t="s">
        <v>330</v>
      </c>
      <c r="J650" s="1644">
        <v>52</v>
      </c>
      <c r="K650" s="1644">
        <v>26</v>
      </c>
      <c r="L650" s="1656">
        <v>40000</v>
      </c>
      <c r="M650" s="1644">
        <v>26</v>
      </c>
      <c r="N650" s="1656">
        <v>65000</v>
      </c>
      <c r="O650" s="1644">
        <v>26</v>
      </c>
      <c r="P650" s="1656">
        <v>70000</v>
      </c>
      <c r="Q650" s="1644">
        <v>26</v>
      </c>
      <c r="R650" s="1656">
        <v>80000</v>
      </c>
      <c r="S650" s="1644">
        <v>26</v>
      </c>
      <c r="T650" s="1656">
        <v>90000</v>
      </c>
      <c r="U650" s="1644">
        <v>26</v>
      </c>
      <c r="V650" s="1656">
        <v>100000</v>
      </c>
      <c r="W650" s="1369">
        <v>130</v>
      </c>
      <c r="X650" s="1648"/>
      <c r="Y650" s="1649" t="s">
        <v>1151</v>
      </c>
    </row>
    <row r="651" spans="2:25" ht="38.25" x14ac:dyDescent="0.25">
      <c r="B651" s="1757"/>
      <c r="C651" s="1646"/>
      <c r="D651" s="1646"/>
      <c r="E651" s="1646"/>
      <c r="G651" s="1369" t="s">
        <v>331</v>
      </c>
      <c r="H651" s="1369" t="s">
        <v>3143</v>
      </c>
      <c r="I651" s="1557" t="s">
        <v>19</v>
      </c>
      <c r="J651" s="1596">
        <v>84.5</v>
      </c>
      <c r="K651" s="1596">
        <v>84.7</v>
      </c>
      <c r="L651" s="1625">
        <f>SUM(L652:L654)</f>
        <v>377500</v>
      </c>
      <c r="M651" s="1596">
        <v>84.75</v>
      </c>
      <c r="N651" s="1625">
        <f>SUM(N652:N654)</f>
        <v>370000</v>
      </c>
      <c r="O651" s="1596">
        <v>84.8</v>
      </c>
      <c r="P651" s="1625">
        <f>SUM(P652:P654)</f>
        <v>375000</v>
      </c>
      <c r="Q651" s="1596">
        <v>84.9</v>
      </c>
      <c r="R651" s="1625">
        <f>SUM(R652:R654)</f>
        <v>380000</v>
      </c>
      <c r="S651" s="1596">
        <v>85.1</v>
      </c>
      <c r="T651" s="1625">
        <f>SUM(T652:T654)</f>
        <v>390000</v>
      </c>
      <c r="U651" s="1596">
        <v>85.5</v>
      </c>
      <c r="V651" s="1625">
        <f>SUM(V652:V654)</f>
        <v>390000</v>
      </c>
      <c r="W651" s="1657">
        <f>U651</f>
        <v>85.5</v>
      </c>
      <c r="X651" s="1648"/>
      <c r="Y651" s="1649" t="s">
        <v>1151</v>
      </c>
    </row>
    <row r="652" spans="2:25" ht="63.75" x14ac:dyDescent="0.25">
      <c r="B652" s="1757"/>
      <c r="C652" s="1646"/>
      <c r="D652" s="1646"/>
      <c r="E652" s="1646"/>
      <c r="F652" s="1646"/>
      <c r="G652" s="1369" t="s">
        <v>334</v>
      </c>
      <c r="H652" s="1369" t="s">
        <v>332</v>
      </c>
      <c r="I652" s="1557" t="s">
        <v>333</v>
      </c>
      <c r="J652" s="1369">
        <v>155134</v>
      </c>
      <c r="K652" s="1647">
        <v>155929</v>
      </c>
      <c r="L652" s="1647">
        <v>42500</v>
      </c>
      <c r="M652" s="1647">
        <v>156758</v>
      </c>
      <c r="N652" s="1647">
        <v>120000</v>
      </c>
      <c r="O652" s="1647">
        <v>157189</v>
      </c>
      <c r="P652" s="1647">
        <v>120000</v>
      </c>
      <c r="Q652" s="1647">
        <v>157816</v>
      </c>
      <c r="R652" s="1647">
        <v>120000</v>
      </c>
      <c r="S652" s="1647">
        <v>160742</v>
      </c>
      <c r="T652" s="1647">
        <v>120000</v>
      </c>
      <c r="U652" s="1647">
        <v>161449</v>
      </c>
      <c r="V652" s="1647">
        <v>120000</v>
      </c>
      <c r="W652" s="1369">
        <v>788434</v>
      </c>
      <c r="X652" s="1648"/>
      <c r="Y652" s="1649" t="s">
        <v>1151</v>
      </c>
    </row>
    <row r="653" spans="2:25" ht="38.25" x14ac:dyDescent="0.25">
      <c r="B653" s="1757"/>
      <c r="C653" s="1646"/>
      <c r="D653" s="1646"/>
      <c r="E653" s="1646"/>
      <c r="F653" s="1646"/>
      <c r="G653" s="1369" t="s">
        <v>335</v>
      </c>
      <c r="H653" s="1369" t="s">
        <v>336</v>
      </c>
      <c r="I653" s="1557" t="s">
        <v>322</v>
      </c>
      <c r="J653" s="1650">
        <v>100</v>
      </c>
      <c r="K653" s="1650">
        <v>600</v>
      </c>
      <c r="L653" s="1651">
        <v>275000</v>
      </c>
      <c r="M653" s="1650">
        <v>130</v>
      </c>
      <c r="N653" s="1651">
        <v>130000</v>
      </c>
      <c r="O653" s="1650">
        <v>140</v>
      </c>
      <c r="P653" s="1651">
        <v>135000</v>
      </c>
      <c r="Q653" s="1650">
        <v>150</v>
      </c>
      <c r="R653" s="1651">
        <v>140000</v>
      </c>
      <c r="S653" s="1650">
        <v>160</v>
      </c>
      <c r="T653" s="1651">
        <v>150000</v>
      </c>
      <c r="U653" s="1650">
        <v>160</v>
      </c>
      <c r="V653" s="1651">
        <v>150000</v>
      </c>
      <c r="W653" s="1369">
        <v>1180</v>
      </c>
      <c r="X653" s="1648"/>
      <c r="Y653" s="1649" t="s">
        <v>1151</v>
      </c>
    </row>
    <row r="654" spans="2:25" ht="25.5" x14ac:dyDescent="0.25">
      <c r="B654" s="1757"/>
      <c r="C654" s="1646"/>
      <c r="D654" s="1646"/>
      <c r="E654" s="1646"/>
      <c r="F654" s="1658"/>
      <c r="G654" s="1369" t="s">
        <v>337</v>
      </c>
      <c r="H654" s="1369" t="s">
        <v>338</v>
      </c>
      <c r="I654" s="1557" t="s">
        <v>100</v>
      </c>
      <c r="J654" s="1650">
        <v>50</v>
      </c>
      <c r="K654" s="1650">
        <v>42</v>
      </c>
      <c r="L654" s="1651">
        <v>60000</v>
      </c>
      <c r="M654" s="1650">
        <v>65</v>
      </c>
      <c r="N654" s="1651">
        <v>120000</v>
      </c>
      <c r="O654" s="1650">
        <v>70</v>
      </c>
      <c r="P654" s="1651">
        <v>120000</v>
      </c>
      <c r="Q654" s="1650">
        <v>80</v>
      </c>
      <c r="R654" s="1651">
        <v>120000</v>
      </c>
      <c r="S654" s="1650">
        <v>90</v>
      </c>
      <c r="T654" s="1651">
        <v>120000</v>
      </c>
      <c r="U654" s="1650">
        <v>90</v>
      </c>
      <c r="V654" s="1651">
        <v>120000</v>
      </c>
      <c r="W654" s="1369">
        <v>347</v>
      </c>
      <c r="X654" s="1648"/>
      <c r="Y654" s="1649" t="s">
        <v>1151</v>
      </c>
    </row>
    <row r="655" spans="2:25" x14ac:dyDescent="0.25">
      <c r="B655" s="1757"/>
      <c r="C655" s="1646"/>
      <c r="D655" s="1646"/>
      <c r="E655" s="1646"/>
      <c r="F655" s="1646"/>
      <c r="G655" s="1369"/>
      <c r="H655" s="1369"/>
      <c r="I655" s="1557"/>
      <c r="J655" s="1650"/>
      <c r="K655" s="1650"/>
      <c r="L655" s="1651"/>
      <c r="M655" s="1650"/>
      <c r="N655" s="1651"/>
      <c r="O655" s="1650"/>
      <c r="P655" s="1651"/>
      <c r="Q655" s="1650"/>
      <c r="R655" s="1651"/>
      <c r="S655" s="1650"/>
      <c r="T655" s="1651"/>
      <c r="U655" s="1650"/>
      <c r="V655" s="1651"/>
      <c r="W655" s="1369"/>
      <c r="X655" s="1648"/>
      <c r="Y655" s="1649"/>
    </row>
    <row r="656" spans="2:25" ht="51" customHeight="1" x14ac:dyDescent="0.25">
      <c r="B656" s="2089" t="s">
        <v>33</v>
      </c>
      <c r="C656" s="2042" t="s">
        <v>34</v>
      </c>
      <c r="D656" s="2042" t="s">
        <v>3831</v>
      </c>
      <c r="E656" s="2042" t="s">
        <v>3832</v>
      </c>
      <c r="F656" s="2042" t="s">
        <v>3913</v>
      </c>
      <c r="G656" s="173" t="s">
        <v>3133</v>
      </c>
      <c r="H656" s="1369"/>
      <c r="I656" s="1369" t="s">
        <v>19</v>
      </c>
      <c r="J656" s="1369">
        <v>90</v>
      </c>
      <c r="K656" s="1369">
        <v>91</v>
      </c>
      <c r="L656" s="1647"/>
      <c r="M656" s="1369">
        <v>92</v>
      </c>
      <c r="N656" s="1647"/>
      <c r="O656" s="1369">
        <v>93</v>
      </c>
      <c r="P656" s="1647"/>
      <c r="Q656" s="1369">
        <v>94</v>
      </c>
      <c r="R656" s="1647"/>
      <c r="S656" s="1369">
        <v>95</v>
      </c>
      <c r="T656" s="1647"/>
      <c r="U656" s="1369">
        <v>96</v>
      </c>
      <c r="V656" s="1647"/>
      <c r="W656" s="1369"/>
      <c r="X656" s="1369"/>
      <c r="Y656" s="1649" t="s">
        <v>1151</v>
      </c>
    </row>
    <row r="657" spans="2:25" ht="63.75" x14ac:dyDescent="0.25">
      <c r="B657" s="2090"/>
      <c r="C657" s="2043"/>
      <c r="D657" s="2043"/>
      <c r="E657" s="2043"/>
      <c r="F657" s="2043"/>
      <c r="G657" s="1369" t="s">
        <v>36</v>
      </c>
      <c r="H657" s="1654" t="s">
        <v>386</v>
      </c>
      <c r="I657" s="1557" t="s">
        <v>19</v>
      </c>
      <c r="J657" s="1369">
        <v>100</v>
      </c>
      <c r="K657" s="1369">
        <v>20</v>
      </c>
      <c r="L657" s="1647">
        <f>SUM(L658:L670)</f>
        <v>543585</v>
      </c>
      <c r="M657" s="1369">
        <v>20</v>
      </c>
      <c r="N657" s="1647">
        <f>SUM(N658:N670)</f>
        <v>578000</v>
      </c>
      <c r="O657" s="1369">
        <v>20</v>
      </c>
      <c r="P657" s="1647">
        <f>SUM(P658:P670)</f>
        <v>591000</v>
      </c>
      <c r="Q657" s="1369">
        <v>20</v>
      </c>
      <c r="R657" s="1647">
        <f>SUM(R658:R670)</f>
        <v>602000</v>
      </c>
      <c r="S657" s="1369">
        <v>20</v>
      </c>
      <c r="T657" s="1647">
        <f>SUM(T658:T670)</f>
        <v>580000</v>
      </c>
      <c r="U657" s="1369">
        <v>20</v>
      </c>
      <c r="V657" s="1647">
        <f>SUM(V658:V670)</f>
        <v>580000</v>
      </c>
      <c r="W657" s="1369">
        <v>100</v>
      </c>
      <c r="X657" s="1648"/>
      <c r="Y657" s="1649" t="s">
        <v>1151</v>
      </c>
    </row>
    <row r="658" spans="2:25" ht="38.25" x14ac:dyDescent="0.25">
      <c r="B658" s="2090"/>
      <c r="C658" s="1646"/>
      <c r="D658" s="1646"/>
      <c r="E658" s="1646"/>
      <c r="F658" s="1646"/>
      <c r="G658" s="1369" t="s">
        <v>124</v>
      </c>
      <c r="H658" s="1369" t="s">
        <v>387</v>
      </c>
      <c r="I658" s="1557" t="s">
        <v>40</v>
      </c>
      <c r="J658" s="1369"/>
      <c r="K658" s="1369">
        <v>12</v>
      </c>
      <c r="L658" s="1651">
        <v>1500</v>
      </c>
      <c r="M658" s="1369">
        <v>12</v>
      </c>
      <c r="N658" s="1651">
        <v>2000</v>
      </c>
      <c r="O658" s="1369">
        <v>12</v>
      </c>
      <c r="P658" s="1651">
        <v>2000</v>
      </c>
      <c r="Q658" s="1369">
        <v>12</v>
      </c>
      <c r="R658" s="1651">
        <v>2000</v>
      </c>
      <c r="S658" s="1369">
        <v>12</v>
      </c>
      <c r="T658" s="1651">
        <v>2000</v>
      </c>
      <c r="U658" s="1369">
        <v>12</v>
      </c>
      <c r="V658" s="1651">
        <v>2000</v>
      </c>
      <c r="W658" s="1369"/>
      <c r="X658" s="1648"/>
      <c r="Y658" s="1649" t="s">
        <v>1151</v>
      </c>
    </row>
    <row r="659" spans="2:25" ht="63.75" x14ac:dyDescent="0.25">
      <c r="B659" s="2090"/>
      <c r="C659" s="1646"/>
      <c r="D659" s="1646"/>
      <c r="E659" s="1646"/>
      <c r="F659" s="1646"/>
      <c r="G659" s="1369" t="s">
        <v>126</v>
      </c>
      <c r="H659" s="1369" t="s">
        <v>388</v>
      </c>
      <c r="I659" s="1557" t="s">
        <v>40</v>
      </c>
      <c r="J659" s="1369"/>
      <c r="K659" s="1369">
        <v>12</v>
      </c>
      <c r="L659" s="1651">
        <v>40085</v>
      </c>
      <c r="M659" s="1369">
        <v>12</v>
      </c>
      <c r="N659" s="1651">
        <v>35000</v>
      </c>
      <c r="O659" s="1369">
        <v>12</v>
      </c>
      <c r="P659" s="1651">
        <v>35000</v>
      </c>
      <c r="Q659" s="1369">
        <v>12</v>
      </c>
      <c r="R659" s="1651">
        <v>35000</v>
      </c>
      <c r="S659" s="1369">
        <v>12</v>
      </c>
      <c r="T659" s="1651">
        <v>35000</v>
      </c>
      <c r="U659" s="1369">
        <v>12</v>
      </c>
      <c r="V659" s="1651">
        <v>35000</v>
      </c>
      <c r="W659" s="1369"/>
      <c r="X659" s="1648"/>
      <c r="Y659" s="1649" t="s">
        <v>1151</v>
      </c>
    </row>
    <row r="660" spans="2:25" ht="63.75" x14ac:dyDescent="0.25">
      <c r="B660" s="2090"/>
      <c r="C660" s="1646"/>
      <c r="D660" s="1646"/>
      <c r="E660" s="1646"/>
      <c r="F660" s="1646"/>
      <c r="G660" s="1369" t="s">
        <v>43</v>
      </c>
      <c r="H660" s="1369" t="s">
        <v>389</v>
      </c>
      <c r="I660" s="1557" t="s">
        <v>40</v>
      </c>
      <c r="J660" s="1369"/>
      <c r="K660" s="1369">
        <v>12</v>
      </c>
      <c r="L660" s="1651">
        <v>243000</v>
      </c>
      <c r="M660" s="1369">
        <v>12</v>
      </c>
      <c r="N660" s="1651">
        <v>250000</v>
      </c>
      <c r="O660" s="1369">
        <v>12</v>
      </c>
      <c r="P660" s="1651">
        <v>260000</v>
      </c>
      <c r="Q660" s="1369">
        <v>12</v>
      </c>
      <c r="R660" s="1651">
        <v>270000</v>
      </c>
      <c r="S660" s="1369">
        <v>12</v>
      </c>
      <c r="T660" s="1651">
        <v>280000</v>
      </c>
      <c r="U660" s="1369">
        <v>12</v>
      </c>
      <c r="V660" s="1651">
        <v>280000</v>
      </c>
      <c r="W660" s="1369"/>
      <c r="X660" s="1648"/>
      <c r="Y660" s="1649" t="s">
        <v>1151</v>
      </c>
    </row>
    <row r="661" spans="2:25" ht="51" x14ac:dyDescent="0.25">
      <c r="B661" s="2090"/>
      <c r="C661" s="1646"/>
      <c r="D661" s="1646"/>
      <c r="E661" s="1646"/>
      <c r="F661" s="1646"/>
      <c r="G661" s="1369" t="s">
        <v>45</v>
      </c>
      <c r="H661" s="1369" t="s">
        <v>390</v>
      </c>
      <c r="I661" s="1557" t="s">
        <v>40</v>
      </c>
      <c r="J661" s="1369"/>
      <c r="K661" s="1369">
        <v>12</v>
      </c>
      <c r="L661" s="1651">
        <v>36000</v>
      </c>
      <c r="M661" s="1369">
        <v>12</v>
      </c>
      <c r="N661" s="1651">
        <v>37000</v>
      </c>
      <c r="O661" s="1369">
        <v>12</v>
      </c>
      <c r="P661" s="1651">
        <v>38000</v>
      </c>
      <c r="Q661" s="1369">
        <v>12</v>
      </c>
      <c r="R661" s="1651">
        <v>39000</v>
      </c>
      <c r="S661" s="1369">
        <v>12</v>
      </c>
      <c r="T661" s="1651">
        <v>40000</v>
      </c>
      <c r="U661" s="1369">
        <v>12</v>
      </c>
      <c r="V661" s="1651">
        <v>40000</v>
      </c>
      <c r="W661" s="1369"/>
      <c r="X661" s="1648"/>
      <c r="Y661" s="1649" t="s">
        <v>1151</v>
      </c>
    </row>
    <row r="662" spans="2:25" ht="51" x14ac:dyDescent="0.25">
      <c r="B662" s="2090"/>
      <c r="C662" s="1646"/>
      <c r="D662" s="1646"/>
      <c r="E662" s="1646"/>
      <c r="F662" s="1646"/>
      <c r="G662" s="1369" t="s">
        <v>47</v>
      </c>
      <c r="H662" s="1369" t="s">
        <v>391</v>
      </c>
      <c r="I662" s="1557" t="s">
        <v>40</v>
      </c>
      <c r="J662" s="1369"/>
      <c r="K662" s="1369">
        <v>12</v>
      </c>
      <c r="L662" s="1651">
        <v>10000</v>
      </c>
      <c r="M662" s="1369">
        <v>12</v>
      </c>
      <c r="N662" s="1651">
        <v>12000</v>
      </c>
      <c r="O662" s="1369">
        <v>12</v>
      </c>
      <c r="P662" s="1651">
        <v>12000</v>
      </c>
      <c r="Q662" s="1369">
        <v>12</v>
      </c>
      <c r="R662" s="1651">
        <v>12000</v>
      </c>
      <c r="S662" s="1369">
        <v>12</v>
      </c>
      <c r="T662" s="1651">
        <v>12000</v>
      </c>
      <c r="U662" s="1369">
        <v>12</v>
      </c>
      <c r="V662" s="1651">
        <v>12000</v>
      </c>
      <c r="W662" s="1369"/>
      <c r="X662" s="1648"/>
      <c r="Y662" s="1649" t="s">
        <v>1151</v>
      </c>
    </row>
    <row r="663" spans="2:25" ht="25.5" x14ac:dyDescent="0.25">
      <c r="B663" s="2090"/>
      <c r="C663" s="1646"/>
      <c r="D663" s="1646"/>
      <c r="E663" s="1646"/>
      <c r="F663" s="1646"/>
      <c r="G663" s="1369" t="s">
        <v>130</v>
      </c>
      <c r="H663" s="1369" t="s">
        <v>392</v>
      </c>
      <c r="I663" s="1557" t="s">
        <v>40</v>
      </c>
      <c r="J663" s="1369"/>
      <c r="K663" s="1369">
        <v>12</v>
      </c>
      <c r="L663" s="1651">
        <v>28000</v>
      </c>
      <c r="M663" s="1369">
        <v>12</v>
      </c>
      <c r="N663" s="1651">
        <v>30000</v>
      </c>
      <c r="O663" s="1369">
        <v>12</v>
      </c>
      <c r="P663" s="1651">
        <v>30000</v>
      </c>
      <c r="Q663" s="1369">
        <v>12</v>
      </c>
      <c r="R663" s="1651">
        <v>30000</v>
      </c>
      <c r="S663" s="1369">
        <v>12</v>
      </c>
      <c r="T663" s="1651">
        <v>30000</v>
      </c>
      <c r="U663" s="1369">
        <v>12</v>
      </c>
      <c r="V663" s="1651">
        <v>30000</v>
      </c>
      <c r="W663" s="1369"/>
      <c r="X663" s="1648"/>
      <c r="Y663" s="1649" t="s">
        <v>1151</v>
      </c>
    </row>
    <row r="664" spans="2:25" ht="38.25" x14ac:dyDescent="0.25">
      <c r="B664" s="2090"/>
      <c r="C664" s="1646"/>
      <c r="D664" s="1646"/>
      <c r="E664" s="1646"/>
      <c r="F664" s="1646"/>
      <c r="G664" s="1369" t="s">
        <v>50</v>
      </c>
      <c r="H664" s="1369" t="s">
        <v>393</v>
      </c>
      <c r="I664" s="1557" t="s">
        <v>40</v>
      </c>
      <c r="J664" s="1369"/>
      <c r="K664" s="1369">
        <v>12</v>
      </c>
      <c r="L664" s="1651">
        <v>40000</v>
      </c>
      <c r="M664" s="1369">
        <v>12</v>
      </c>
      <c r="N664" s="1651">
        <v>45000</v>
      </c>
      <c r="O664" s="1369">
        <v>12</v>
      </c>
      <c r="P664" s="1651">
        <v>45000</v>
      </c>
      <c r="Q664" s="1369">
        <v>12</v>
      </c>
      <c r="R664" s="1651">
        <v>45000</v>
      </c>
      <c r="S664" s="1369">
        <v>12</v>
      </c>
      <c r="T664" s="1651">
        <v>45000</v>
      </c>
      <c r="U664" s="1369">
        <v>12</v>
      </c>
      <c r="V664" s="1651">
        <v>45000</v>
      </c>
      <c r="W664" s="1369"/>
      <c r="X664" s="1648"/>
      <c r="Y664" s="1649" t="s">
        <v>1151</v>
      </c>
    </row>
    <row r="665" spans="2:25" ht="51" x14ac:dyDescent="0.25">
      <c r="B665" s="2090"/>
      <c r="C665" s="1646"/>
      <c r="D665" s="1646"/>
      <c r="E665" s="1646"/>
      <c r="F665" s="1646"/>
      <c r="G665" s="1369" t="s">
        <v>52</v>
      </c>
      <c r="H665" s="1369" t="s">
        <v>394</v>
      </c>
      <c r="I665" s="1557" t="s">
        <v>40</v>
      </c>
      <c r="J665" s="1369"/>
      <c r="K665" s="1369">
        <v>12</v>
      </c>
      <c r="L665" s="1651">
        <v>16000</v>
      </c>
      <c r="M665" s="1369">
        <v>12</v>
      </c>
      <c r="N665" s="1651">
        <v>18000</v>
      </c>
      <c r="O665" s="1369">
        <v>12</v>
      </c>
      <c r="P665" s="1651">
        <v>20000</v>
      </c>
      <c r="Q665" s="1369">
        <v>12</v>
      </c>
      <c r="R665" s="1651">
        <v>20000</v>
      </c>
      <c r="S665" s="1369">
        <v>12</v>
      </c>
      <c r="T665" s="1651">
        <v>20000</v>
      </c>
      <c r="U665" s="1369">
        <v>12</v>
      </c>
      <c r="V665" s="1651">
        <v>20000</v>
      </c>
      <c r="W665" s="1369"/>
      <c r="X665" s="1648"/>
      <c r="Y665" s="1649" t="s">
        <v>1151</v>
      </c>
    </row>
    <row r="666" spans="2:25" ht="51" x14ac:dyDescent="0.25">
      <c r="B666" s="2090"/>
      <c r="C666" s="1646"/>
      <c r="D666" s="1646"/>
      <c r="E666" s="1646"/>
      <c r="F666" s="1646"/>
      <c r="G666" s="1369" t="s">
        <v>54</v>
      </c>
      <c r="H666" s="1369" t="s">
        <v>395</v>
      </c>
      <c r="I666" s="1557" t="s">
        <v>40</v>
      </c>
      <c r="J666" s="1369"/>
      <c r="K666" s="1369">
        <v>12</v>
      </c>
      <c r="L666" s="1651">
        <v>5000</v>
      </c>
      <c r="M666" s="1369">
        <v>12</v>
      </c>
      <c r="N666" s="1651">
        <v>7000</v>
      </c>
      <c r="O666" s="1369">
        <v>12</v>
      </c>
      <c r="P666" s="1651">
        <v>7000</v>
      </c>
      <c r="Q666" s="1369">
        <v>12</v>
      </c>
      <c r="R666" s="1651">
        <v>7000</v>
      </c>
      <c r="S666" s="1369">
        <v>12</v>
      </c>
      <c r="T666" s="1651">
        <v>7000</v>
      </c>
      <c r="U666" s="1369">
        <v>12</v>
      </c>
      <c r="V666" s="1651">
        <v>7000</v>
      </c>
      <c r="W666" s="1369"/>
      <c r="X666" s="1648"/>
      <c r="Y666" s="1649" t="s">
        <v>1151</v>
      </c>
    </row>
    <row r="667" spans="2:25" ht="76.5" x14ac:dyDescent="0.25">
      <c r="B667" s="2090"/>
      <c r="C667" s="1646"/>
      <c r="D667" s="1646"/>
      <c r="E667" s="1646"/>
      <c r="F667" s="1646"/>
      <c r="G667" s="1369" t="s">
        <v>56</v>
      </c>
      <c r="H667" s="1369" t="s">
        <v>396</v>
      </c>
      <c r="I667" s="1557" t="s">
        <v>40</v>
      </c>
      <c r="J667" s="1369"/>
      <c r="K667" s="1369">
        <v>12</v>
      </c>
      <c r="L667" s="1651">
        <v>2000</v>
      </c>
      <c r="M667" s="1369">
        <v>12</v>
      </c>
      <c r="N667" s="1651">
        <v>2000</v>
      </c>
      <c r="O667" s="1369">
        <v>12</v>
      </c>
      <c r="P667" s="1651">
        <v>2000</v>
      </c>
      <c r="Q667" s="1369">
        <v>12</v>
      </c>
      <c r="R667" s="1651">
        <v>2000</v>
      </c>
      <c r="S667" s="1369">
        <v>12</v>
      </c>
      <c r="T667" s="1651">
        <v>7000</v>
      </c>
      <c r="U667" s="1369">
        <v>12</v>
      </c>
      <c r="V667" s="1651">
        <v>7000</v>
      </c>
      <c r="W667" s="1369"/>
      <c r="X667" s="1648"/>
      <c r="Y667" s="1649" t="s">
        <v>1151</v>
      </c>
    </row>
    <row r="668" spans="2:25" ht="63.75" x14ac:dyDescent="0.25">
      <c r="B668" s="2090"/>
      <c r="C668" s="1646"/>
      <c r="D668" s="1646"/>
      <c r="E668" s="1646"/>
      <c r="F668" s="1646"/>
      <c r="G668" s="1369" t="s">
        <v>58</v>
      </c>
      <c r="H668" s="1369" t="s">
        <v>397</v>
      </c>
      <c r="I668" s="1557" t="s">
        <v>40</v>
      </c>
      <c r="J668" s="1369"/>
      <c r="K668" s="1369">
        <v>12</v>
      </c>
      <c r="L668" s="1651">
        <v>40000</v>
      </c>
      <c r="M668" s="1369">
        <v>12</v>
      </c>
      <c r="N668" s="1651">
        <v>45000</v>
      </c>
      <c r="O668" s="1369">
        <v>12</v>
      </c>
      <c r="P668" s="1651">
        <v>45000</v>
      </c>
      <c r="Q668" s="1369">
        <v>12</v>
      </c>
      <c r="R668" s="1651">
        <v>45000</v>
      </c>
      <c r="S668" s="1369">
        <v>12</v>
      </c>
      <c r="T668" s="1651">
        <v>7000</v>
      </c>
      <c r="U668" s="1369">
        <v>12</v>
      </c>
      <c r="V668" s="1651">
        <v>7000</v>
      </c>
      <c r="W668" s="1369"/>
      <c r="X668" s="1648"/>
      <c r="Y668" s="1649" t="s">
        <v>1151</v>
      </c>
    </row>
    <row r="669" spans="2:25" ht="51" x14ac:dyDescent="0.25">
      <c r="B669" s="2090"/>
      <c r="C669" s="1646"/>
      <c r="D669" s="1646"/>
      <c r="E669" s="1646"/>
      <c r="F669" s="1646"/>
      <c r="G669" s="1369" t="s">
        <v>137</v>
      </c>
      <c r="H669" s="1369" t="s">
        <v>398</v>
      </c>
      <c r="I669" s="1557" t="s">
        <v>40</v>
      </c>
      <c r="J669" s="1369"/>
      <c r="K669" s="1369">
        <v>12</v>
      </c>
      <c r="L669" s="1651">
        <v>50000</v>
      </c>
      <c r="M669" s="1369">
        <v>12</v>
      </c>
      <c r="N669" s="1651">
        <v>60000</v>
      </c>
      <c r="O669" s="1369">
        <v>12</v>
      </c>
      <c r="P669" s="1651">
        <v>60000</v>
      </c>
      <c r="Q669" s="1369">
        <v>12</v>
      </c>
      <c r="R669" s="1651">
        <v>60000</v>
      </c>
      <c r="S669" s="1369">
        <v>12</v>
      </c>
      <c r="T669" s="1651">
        <v>60000</v>
      </c>
      <c r="U669" s="1369">
        <v>12</v>
      </c>
      <c r="V669" s="1651">
        <v>60000</v>
      </c>
      <c r="W669" s="1369"/>
      <c r="X669" s="1648"/>
      <c r="Y669" s="1649" t="s">
        <v>1151</v>
      </c>
    </row>
    <row r="670" spans="2:25" ht="51" x14ac:dyDescent="0.25">
      <c r="B670" s="2090"/>
      <c r="C670" s="1646"/>
      <c r="D670" s="1646"/>
      <c r="E670" s="1646"/>
      <c r="F670" s="1646"/>
      <c r="G670" s="1369" t="s">
        <v>139</v>
      </c>
      <c r="H670" s="1369" t="s">
        <v>399</v>
      </c>
      <c r="I670" s="1557" t="s">
        <v>40</v>
      </c>
      <c r="J670" s="1369"/>
      <c r="K670" s="1369">
        <v>12</v>
      </c>
      <c r="L670" s="1651">
        <v>32000</v>
      </c>
      <c r="M670" s="1369">
        <v>12</v>
      </c>
      <c r="N670" s="1651">
        <v>35000</v>
      </c>
      <c r="O670" s="1369">
        <v>12</v>
      </c>
      <c r="P670" s="1651">
        <v>35000</v>
      </c>
      <c r="Q670" s="1369">
        <v>12</v>
      </c>
      <c r="R670" s="1651">
        <v>35000</v>
      </c>
      <c r="S670" s="1369">
        <v>12</v>
      </c>
      <c r="T670" s="1651">
        <v>35000</v>
      </c>
      <c r="U670" s="1369">
        <v>12</v>
      </c>
      <c r="V670" s="1651">
        <v>35000</v>
      </c>
      <c r="W670" s="1369"/>
      <c r="X670" s="1648"/>
      <c r="Y670" s="1649" t="s">
        <v>1151</v>
      </c>
    </row>
    <row r="671" spans="2:25" ht="51" x14ac:dyDescent="0.25">
      <c r="B671" s="2090"/>
      <c r="C671" s="1646"/>
      <c r="D671" s="1646"/>
      <c r="E671" s="1646"/>
      <c r="F671" s="1646"/>
      <c r="G671" s="1369" t="s">
        <v>65</v>
      </c>
      <c r="H671" s="1369" t="s">
        <v>249</v>
      </c>
      <c r="I671" s="1557" t="s">
        <v>19</v>
      </c>
      <c r="J671" s="1369"/>
      <c r="K671" s="1369">
        <v>25</v>
      </c>
      <c r="L671" s="1647">
        <f>SUM(L672:L677)</f>
        <v>2162500</v>
      </c>
      <c r="M671" s="1369">
        <v>20</v>
      </c>
      <c r="N671" s="1647">
        <f>SUM(N672:N677)</f>
        <v>2567500</v>
      </c>
      <c r="O671" s="1369">
        <v>20</v>
      </c>
      <c r="P671" s="1647">
        <f>SUM(P672:P677)</f>
        <v>812000</v>
      </c>
      <c r="Q671" s="1369">
        <v>20</v>
      </c>
      <c r="R671" s="1647">
        <f>SUM(R672:R677)</f>
        <v>818000</v>
      </c>
      <c r="S671" s="1369">
        <v>15</v>
      </c>
      <c r="T671" s="1647">
        <f>SUM(T672:T677)</f>
        <v>819000</v>
      </c>
      <c r="U671" s="1369">
        <v>15</v>
      </c>
      <c r="V671" s="1647">
        <f>SUM(V672:V677)</f>
        <v>819000</v>
      </c>
      <c r="W671" s="1369">
        <v>100</v>
      </c>
      <c r="X671" s="1648"/>
      <c r="Y671" s="1649" t="s">
        <v>1151</v>
      </c>
    </row>
    <row r="672" spans="2:25" ht="89.25" x14ac:dyDescent="0.25">
      <c r="B672" s="2090"/>
      <c r="C672" s="1646"/>
      <c r="D672" s="1646"/>
      <c r="E672" s="1646"/>
      <c r="F672" s="1646"/>
      <c r="G672" s="1369" t="s">
        <v>149</v>
      </c>
      <c r="H672" s="1369" t="s">
        <v>400</v>
      </c>
      <c r="I672" s="1557" t="s">
        <v>75</v>
      </c>
      <c r="J672" s="1369"/>
      <c r="K672" s="1650">
        <v>4</v>
      </c>
      <c r="L672" s="1651">
        <v>35000</v>
      </c>
      <c r="M672" s="1369">
        <v>13</v>
      </c>
      <c r="N672" s="1651">
        <v>220000</v>
      </c>
      <c r="O672" s="1369">
        <v>3</v>
      </c>
      <c r="P672" s="1651">
        <v>45000</v>
      </c>
      <c r="Q672" s="1369">
        <v>3</v>
      </c>
      <c r="R672" s="1651">
        <v>45000</v>
      </c>
      <c r="S672" s="1369">
        <v>3</v>
      </c>
      <c r="T672" s="1651">
        <v>45000</v>
      </c>
      <c r="U672" s="1369">
        <v>3</v>
      </c>
      <c r="V672" s="1651">
        <v>45000</v>
      </c>
      <c r="W672" s="1369"/>
      <c r="X672" s="1648"/>
      <c r="Y672" s="1649" t="s">
        <v>1151</v>
      </c>
    </row>
    <row r="673" spans="2:25" ht="89.25" x14ac:dyDescent="0.25">
      <c r="B673" s="2090"/>
      <c r="C673" s="1646"/>
      <c r="D673" s="1646"/>
      <c r="E673" s="1646"/>
      <c r="F673" s="1646"/>
      <c r="G673" s="1369" t="s">
        <v>158</v>
      </c>
      <c r="H673" s="1369" t="s">
        <v>401</v>
      </c>
      <c r="I673" s="1557" t="s">
        <v>106</v>
      </c>
      <c r="J673" s="1369"/>
      <c r="K673" s="1369">
        <v>8</v>
      </c>
      <c r="L673" s="1651">
        <v>15500</v>
      </c>
      <c r="M673" s="1369">
        <v>300</v>
      </c>
      <c r="N673" s="1651">
        <v>225000</v>
      </c>
      <c r="O673" s="1650">
        <v>30</v>
      </c>
      <c r="P673" s="1651">
        <v>75000</v>
      </c>
      <c r="Q673" s="1650">
        <v>30</v>
      </c>
      <c r="R673" s="1651">
        <v>75000</v>
      </c>
      <c r="S673" s="1650">
        <v>30</v>
      </c>
      <c r="T673" s="1651">
        <v>75000</v>
      </c>
      <c r="U673" s="1650">
        <v>30</v>
      </c>
      <c r="V673" s="1651">
        <v>75000</v>
      </c>
      <c r="W673" s="1369"/>
      <c r="X673" s="1648"/>
      <c r="Y673" s="1649" t="s">
        <v>1151</v>
      </c>
    </row>
    <row r="674" spans="2:25" ht="51" x14ac:dyDescent="0.25">
      <c r="B674" s="2090"/>
      <c r="C674" s="1646"/>
      <c r="D674" s="1646"/>
      <c r="E674" s="1646"/>
      <c r="F674" s="1646"/>
      <c r="G674" s="1369" t="s">
        <v>402</v>
      </c>
      <c r="H674" s="1369" t="s">
        <v>403</v>
      </c>
      <c r="I674" s="1557" t="s">
        <v>69</v>
      </c>
      <c r="J674" s="1369"/>
      <c r="K674" s="1369">
        <v>1</v>
      </c>
      <c r="L674" s="1651">
        <v>1446000</v>
      </c>
      <c r="M674" s="1369">
        <v>1</v>
      </c>
      <c r="N674" s="1651">
        <v>1446000</v>
      </c>
      <c r="O674" s="1650" t="s">
        <v>313</v>
      </c>
      <c r="P674" s="1650">
        <v>0</v>
      </c>
      <c r="Q674" s="1650" t="s">
        <v>313</v>
      </c>
      <c r="R674" s="1650">
        <v>0</v>
      </c>
      <c r="S674" s="1650" t="s">
        <v>313</v>
      </c>
      <c r="T674" s="1650">
        <v>0</v>
      </c>
      <c r="U674" s="1650"/>
      <c r="V674" s="1650">
        <v>0</v>
      </c>
      <c r="W674" s="1369"/>
      <c r="X674" s="1648"/>
      <c r="Y674" s="1649" t="s">
        <v>1151</v>
      </c>
    </row>
    <row r="675" spans="2:25" ht="38.25" x14ac:dyDescent="0.25">
      <c r="B675" s="2090"/>
      <c r="C675" s="1646"/>
      <c r="D675" s="1646"/>
      <c r="E675" s="1646"/>
      <c r="F675" s="1646"/>
      <c r="G675" s="1369" t="s">
        <v>404</v>
      </c>
      <c r="H675" s="1369" t="s">
        <v>405</v>
      </c>
      <c r="I675" s="1557" t="s">
        <v>69</v>
      </c>
      <c r="J675" s="1369"/>
      <c r="K675" s="1369">
        <v>2</v>
      </c>
      <c r="L675" s="1651">
        <v>640000</v>
      </c>
      <c r="M675" s="1369">
        <v>2</v>
      </c>
      <c r="N675" s="1651">
        <v>640000</v>
      </c>
      <c r="O675" s="1369">
        <v>2</v>
      </c>
      <c r="P675" s="1651">
        <v>640000</v>
      </c>
      <c r="Q675" s="1369">
        <v>2</v>
      </c>
      <c r="R675" s="1651">
        <v>640000</v>
      </c>
      <c r="S675" s="1369">
        <v>2</v>
      </c>
      <c r="T675" s="1651">
        <v>640000</v>
      </c>
      <c r="U675" s="1369">
        <v>2</v>
      </c>
      <c r="V675" s="1651">
        <v>640000</v>
      </c>
      <c r="W675" s="1369"/>
      <c r="X675" s="1648"/>
      <c r="Y675" s="1649" t="s">
        <v>1151</v>
      </c>
    </row>
    <row r="676" spans="2:25" ht="51" x14ac:dyDescent="0.25">
      <c r="B676" s="2090"/>
      <c r="C676" s="1646"/>
      <c r="D676" s="1646"/>
      <c r="E676" s="1646"/>
      <c r="F676" s="1646"/>
      <c r="G676" s="1369" t="s">
        <v>164</v>
      </c>
      <c r="H676" s="1369" t="s">
        <v>406</v>
      </c>
      <c r="I676" s="1557" t="s">
        <v>75</v>
      </c>
      <c r="J676" s="1369"/>
      <c r="K676" s="1369">
        <v>27</v>
      </c>
      <c r="L676" s="1651">
        <v>20000</v>
      </c>
      <c r="M676" s="1369">
        <v>27</v>
      </c>
      <c r="N676" s="1651">
        <v>30000</v>
      </c>
      <c r="O676" s="1369">
        <v>27</v>
      </c>
      <c r="P676" s="1651">
        <v>45000</v>
      </c>
      <c r="Q676" s="1369">
        <v>27</v>
      </c>
      <c r="R676" s="1651">
        <v>50000</v>
      </c>
      <c r="S676" s="1369">
        <v>27</v>
      </c>
      <c r="T676" s="1651">
        <v>50000</v>
      </c>
      <c r="U676" s="1369">
        <v>27</v>
      </c>
      <c r="V676" s="1651">
        <v>50000</v>
      </c>
      <c r="W676" s="1369"/>
      <c r="X676" s="1648"/>
      <c r="Y676" s="1649" t="s">
        <v>1151</v>
      </c>
    </row>
    <row r="677" spans="2:25" ht="25.5" x14ac:dyDescent="0.25">
      <c r="B677" s="2090"/>
      <c r="C677" s="1646"/>
      <c r="D677" s="1646"/>
      <c r="E677" s="1646"/>
      <c r="F677" s="1646"/>
      <c r="G677" s="1369" t="s">
        <v>73</v>
      </c>
      <c r="H677" s="1369" t="s">
        <v>407</v>
      </c>
      <c r="I677" s="1557" t="s">
        <v>40</v>
      </c>
      <c r="J677" s="1369"/>
      <c r="K677" s="1369">
        <v>12</v>
      </c>
      <c r="L677" s="1651">
        <v>6000</v>
      </c>
      <c r="M677" s="1369">
        <v>12</v>
      </c>
      <c r="N677" s="1651">
        <v>6500</v>
      </c>
      <c r="O677" s="1369">
        <v>12</v>
      </c>
      <c r="P677" s="1651">
        <v>7000</v>
      </c>
      <c r="Q677" s="1369">
        <v>12</v>
      </c>
      <c r="R677" s="1651">
        <v>8000</v>
      </c>
      <c r="S677" s="1369">
        <v>12</v>
      </c>
      <c r="T677" s="1651">
        <v>9000</v>
      </c>
      <c r="U677" s="1369">
        <v>12</v>
      </c>
      <c r="V677" s="1651">
        <v>9000</v>
      </c>
      <c r="W677" s="1369"/>
      <c r="X677" s="1648"/>
      <c r="Y677" s="1649" t="s">
        <v>1151</v>
      </c>
    </row>
    <row r="678" spans="2:25" ht="63.75" x14ac:dyDescent="0.25">
      <c r="B678" s="2090"/>
      <c r="C678" s="1646"/>
      <c r="D678" s="1646"/>
      <c r="E678" s="1646"/>
      <c r="F678" s="1646"/>
      <c r="G678" s="1369" t="s">
        <v>408</v>
      </c>
      <c r="H678" s="1369" t="s">
        <v>409</v>
      </c>
      <c r="I678" s="1557" t="s">
        <v>79</v>
      </c>
      <c r="J678" s="1369"/>
      <c r="K678" s="1650">
        <v>4</v>
      </c>
      <c r="L678" s="1651">
        <f>SUM(L679)</f>
        <v>25000</v>
      </c>
      <c r="M678" s="1650">
        <v>3</v>
      </c>
      <c r="N678" s="1651">
        <f>SUM(N679)</f>
        <v>16000</v>
      </c>
      <c r="O678" s="1650">
        <v>3</v>
      </c>
      <c r="P678" s="1651">
        <f>SUM(P679)</f>
        <v>16000</v>
      </c>
      <c r="Q678" s="1650">
        <v>3</v>
      </c>
      <c r="R678" s="1651">
        <f>SUM(R679)</f>
        <v>16000</v>
      </c>
      <c r="S678" s="1650">
        <v>3</v>
      </c>
      <c r="T678" s="1651">
        <f>SUM(T679)</f>
        <v>16000</v>
      </c>
      <c r="U678" s="1650">
        <v>3</v>
      </c>
      <c r="V678" s="1651">
        <f>SUM(V679)</f>
        <v>16000</v>
      </c>
      <c r="W678" s="1369">
        <v>16</v>
      </c>
      <c r="X678" s="1648"/>
      <c r="Y678" s="1649" t="s">
        <v>1151</v>
      </c>
    </row>
    <row r="679" spans="2:25" ht="89.25" x14ac:dyDescent="0.25">
      <c r="B679" s="2090"/>
      <c r="C679" s="1646"/>
      <c r="D679" s="1646"/>
      <c r="E679" s="1646"/>
      <c r="F679" s="1646"/>
      <c r="G679" s="1369" t="s">
        <v>80</v>
      </c>
      <c r="H679" s="1369" t="s">
        <v>410</v>
      </c>
      <c r="I679" s="1557" t="s">
        <v>79</v>
      </c>
      <c r="J679" s="1369"/>
      <c r="K679" s="1650">
        <v>4</v>
      </c>
      <c r="L679" s="1651">
        <v>25000</v>
      </c>
      <c r="M679" s="1650">
        <v>3</v>
      </c>
      <c r="N679" s="1651">
        <v>16000</v>
      </c>
      <c r="O679" s="1650">
        <v>3</v>
      </c>
      <c r="P679" s="1651">
        <v>16000</v>
      </c>
      <c r="Q679" s="1650">
        <v>3</v>
      </c>
      <c r="R679" s="1651">
        <v>16000</v>
      </c>
      <c r="S679" s="1650">
        <v>3</v>
      </c>
      <c r="T679" s="1651">
        <v>16000</v>
      </c>
      <c r="U679" s="1650">
        <v>3</v>
      </c>
      <c r="V679" s="1651">
        <v>16000</v>
      </c>
      <c r="W679" s="1369">
        <v>16</v>
      </c>
      <c r="X679" s="1648"/>
      <c r="Y679" s="1649" t="s">
        <v>1151</v>
      </c>
    </row>
    <row r="680" spans="2:25" ht="51" x14ac:dyDescent="0.25">
      <c r="B680" s="2090"/>
      <c r="C680" s="1646"/>
      <c r="D680" s="1646"/>
      <c r="E680" s="1646"/>
      <c r="F680" s="1646"/>
      <c r="G680" s="1369" t="s">
        <v>411</v>
      </c>
      <c r="H680" s="1369" t="s">
        <v>3111</v>
      </c>
      <c r="I680" s="1557" t="s">
        <v>79</v>
      </c>
      <c r="J680" s="1369"/>
      <c r="K680" s="1650">
        <v>1</v>
      </c>
      <c r="L680" s="1651">
        <f>SUM(L681)</f>
        <v>10000</v>
      </c>
      <c r="M680" s="1650">
        <v>1</v>
      </c>
      <c r="N680" s="1651">
        <f>SUM(N681)</f>
        <v>10000</v>
      </c>
      <c r="O680" s="1650">
        <v>1</v>
      </c>
      <c r="P680" s="1651">
        <f>SUM(P681)</f>
        <v>10000</v>
      </c>
      <c r="Q680" s="1650">
        <v>1</v>
      </c>
      <c r="R680" s="1651">
        <f>SUM(R681)</f>
        <v>10000</v>
      </c>
      <c r="S680" s="1650">
        <v>1</v>
      </c>
      <c r="T680" s="1651">
        <f>SUM(T681)</f>
        <v>10000</v>
      </c>
      <c r="U680" s="1650">
        <v>1</v>
      </c>
      <c r="V680" s="1651">
        <f>SUM(V681)</f>
        <v>0</v>
      </c>
      <c r="W680" s="1369">
        <v>6</v>
      </c>
      <c r="X680" s="1648"/>
      <c r="Y680" s="1649" t="s">
        <v>1151</v>
      </c>
    </row>
    <row r="681" spans="2:25" ht="38.25" x14ac:dyDescent="0.25">
      <c r="B681" s="2090"/>
      <c r="C681" s="1646"/>
      <c r="D681" s="1646"/>
      <c r="E681" s="1646"/>
      <c r="F681" s="1646"/>
      <c r="G681" s="1369" t="s">
        <v>412</v>
      </c>
      <c r="H681" s="1369" t="s">
        <v>413</v>
      </c>
      <c r="I681" s="1557" t="s">
        <v>79</v>
      </c>
      <c r="J681" s="1369"/>
      <c r="K681" s="1650">
        <v>1</v>
      </c>
      <c r="L681" s="1651">
        <v>10000</v>
      </c>
      <c r="M681" s="1650">
        <v>1</v>
      </c>
      <c r="N681" s="1651">
        <v>10000</v>
      </c>
      <c r="O681" s="1650">
        <v>1</v>
      </c>
      <c r="P681" s="1651">
        <v>10000</v>
      </c>
      <c r="Q681" s="1650">
        <v>1</v>
      </c>
      <c r="R681" s="1651">
        <v>10000</v>
      </c>
      <c r="S681" s="1650">
        <v>1</v>
      </c>
      <c r="T681" s="1651">
        <v>10000</v>
      </c>
      <c r="U681" s="1650">
        <v>1</v>
      </c>
      <c r="V681" s="1651">
        <v>0</v>
      </c>
      <c r="W681" s="1369"/>
      <c r="X681" s="1648"/>
      <c r="Y681" s="1649" t="s">
        <v>1151</v>
      </c>
    </row>
    <row r="682" spans="2:25" ht="38.25" x14ac:dyDescent="0.25">
      <c r="B682" s="2090"/>
      <c r="C682" s="1646"/>
      <c r="D682" s="1646"/>
      <c r="E682" s="1646"/>
      <c r="F682" s="1646"/>
      <c r="G682" s="1369" t="s">
        <v>414</v>
      </c>
      <c r="H682" s="1369" t="s">
        <v>415</v>
      </c>
      <c r="I682" s="1557" t="s">
        <v>40</v>
      </c>
      <c r="J682" s="1369"/>
      <c r="K682" s="1650">
        <v>12</v>
      </c>
      <c r="L682" s="1651">
        <f>SUM(L683)</f>
        <v>13000</v>
      </c>
      <c r="M682" s="1650">
        <v>12</v>
      </c>
      <c r="N682" s="1651">
        <f>SUM(N683)</f>
        <v>15000</v>
      </c>
      <c r="O682" s="1650">
        <v>12</v>
      </c>
      <c r="P682" s="1651">
        <f>SUM(P683)</f>
        <v>15000</v>
      </c>
      <c r="Q682" s="1650">
        <v>12</v>
      </c>
      <c r="R682" s="1651">
        <f>SUM(R683)</f>
        <v>15000</v>
      </c>
      <c r="S682" s="1650">
        <v>12</v>
      </c>
      <c r="T682" s="1651">
        <f>SUM(T683)</f>
        <v>15000</v>
      </c>
      <c r="U682" s="1650">
        <v>12</v>
      </c>
      <c r="V682" s="1651">
        <f>SUM(V683)</f>
        <v>15000</v>
      </c>
      <c r="W682" s="1369">
        <v>60</v>
      </c>
      <c r="X682" s="1648"/>
      <c r="Y682" s="1649" t="s">
        <v>1151</v>
      </c>
    </row>
    <row r="683" spans="2:25" ht="38.25" x14ac:dyDescent="0.25">
      <c r="B683" s="2090"/>
      <c r="C683" s="1646"/>
      <c r="D683" s="1646"/>
      <c r="E683" s="1646"/>
      <c r="F683" s="1646"/>
      <c r="G683" s="1369" t="s">
        <v>416</v>
      </c>
      <c r="H683" s="1369" t="s">
        <v>415</v>
      </c>
      <c r="I683" s="1557" t="s">
        <v>40</v>
      </c>
      <c r="J683" s="1369"/>
      <c r="K683" s="1369">
        <v>12</v>
      </c>
      <c r="L683" s="1651">
        <v>13000</v>
      </c>
      <c r="M683" s="1369">
        <v>12</v>
      </c>
      <c r="N683" s="1651">
        <v>15000</v>
      </c>
      <c r="O683" s="1369">
        <v>12</v>
      </c>
      <c r="P683" s="1651">
        <v>15000</v>
      </c>
      <c r="Q683" s="1369">
        <v>12</v>
      </c>
      <c r="R683" s="1651">
        <v>15000</v>
      </c>
      <c r="S683" s="1369">
        <v>12</v>
      </c>
      <c r="T683" s="1651">
        <v>15000</v>
      </c>
      <c r="U683" s="1369">
        <v>12</v>
      </c>
      <c r="V683" s="1651">
        <v>15000</v>
      </c>
      <c r="W683" s="1369">
        <v>60</v>
      </c>
      <c r="X683" s="1648"/>
      <c r="Y683" s="1649" t="s">
        <v>1151</v>
      </c>
    </row>
    <row r="684" spans="2:25" ht="38.25" x14ac:dyDescent="0.25">
      <c r="B684" s="2090"/>
      <c r="C684" s="1646"/>
      <c r="D684" s="1646"/>
      <c r="E684" s="1646"/>
      <c r="F684" s="1646"/>
      <c r="G684" s="1369" t="s">
        <v>417</v>
      </c>
      <c r="H684" s="1369" t="s">
        <v>418</v>
      </c>
      <c r="I684" s="1557" t="s">
        <v>97</v>
      </c>
      <c r="J684" s="1648">
        <v>460</v>
      </c>
      <c r="K684" s="1648">
        <v>460</v>
      </c>
      <c r="L684" s="1651">
        <f>SUM(L685)</f>
        <v>60000</v>
      </c>
      <c r="M684" s="1648">
        <v>460</v>
      </c>
      <c r="N684" s="1651">
        <f>SUM(N685)</f>
        <v>50000</v>
      </c>
      <c r="O684" s="1648">
        <v>460</v>
      </c>
      <c r="P684" s="1651">
        <f>SUM(P685)</f>
        <v>55000</v>
      </c>
      <c r="Q684" s="1648">
        <v>460</v>
      </c>
      <c r="R684" s="1651">
        <f>SUM(R685)</f>
        <v>60000</v>
      </c>
      <c r="S684" s="1648">
        <v>460</v>
      </c>
      <c r="T684" s="1651">
        <f>SUM(T685)</f>
        <v>65000</v>
      </c>
      <c r="U684" s="1648">
        <v>460</v>
      </c>
      <c r="V684" s="1651">
        <f>SUM(V685)</f>
        <v>65000</v>
      </c>
      <c r="W684" s="1648">
        <v>2300</v>
      </c>
      <c r="X684" s="1648"/>
      <c r="Y684" s="1649" t="s">
        <v>1151</v>
      </c>
    </row>
    <row r="685" spans="2:25" ht="25.5" x14ac:dyDescent="0.25">
      <c r="B685" s="2091"/>
      <c r="C685" s="1658"/>
      <c r="D685" s="1658"/>
      <c r="E685" s="1658"/>
      <c r="F685" s="1658"/>
      <c r="G685" s="1369" t="s">
        <v>419</v>
      </c>
      <c r="H685" s="1369" t="s">
        <v>420</v>
      </c>
      <c r="I685" s="1557" t="s">
        <v>97</v>
      </c>
      <c r="J685" s="1369">
        <v>460</v>
      </c>
      <c r="K685" s="1369">
        <v>460</v>
      </c>
      <c r="L685" s="1651">
        <v>60000</v>
      </c>
      <c r="M685" s="1369">
        <v>460</v>
      </c>
      <c r="N685" s="1651">
        <v>50000</v>
      </c>
      <c r="O685" s="1369">
        <v>460</v>
      </c>
      <c r="P685" s="1651">
        <v>55000</v>
      </c>
      <c r="Q685" s="1369">
        <v>460</v>
      </c>
      <c r="R685" s="1651">
        <v>60000</v>
      </c>
      <c r="S685" s="1369">
        <v>460</v>
      </c>
      <c r="T685" s="1651">
        <v>65000</v>
      </c>
      <c r="U685" s="1369">
        <v>460</v>
      </c>
      <c r="V685" s="1651">
        <v>65000</v>
      </c>
      <c r="W685" s="1369">
        <v>2300</v>
      </c>
      <c r="X685" s="1648"/>
      <c r="Y685" s="1649" t="s">
        <v>1151</v>
      </c>
    </row>
    <row r="686" spans="2:25" ht="13.5" thickBot="1" x14ac:dyDescent="0.3">
      <c r="B686" s="1661" t="s">
        <v>1813</v>
      </c>
      <c r="C686" s="1662"/>
      <c r="D686" s="1662"/>
      <c r="E686" s="1662"/>
      <c r="F686" s="1663"/>
      <c r="G686" s="1664"/>
      <c r="H686" s="1664"/>
      <c r="I686" s="1665"/>
      <c r="J686" s="1664"/>
      <c r="K686" s="1664"/>
      <c r="L686" s="1666">
        <f>SUM(L617:L685)/2</f>
        <v>8762024</v>
      </c>
      <c r="M686" s="1664"/>
      <c r="N686" s="1666">
        <f>SUM(N617:N685)/2</f>
        <v>9126139</v>
      </c>
      <c r="O686" s="1664"/>
      <c r="P686" s="1666">
        <f>SUM(P617:P685)/2</f>
        <v>7648539</v>
      </c>
      <c r="Q686" s="1664"/>
      <c r="R686" s="1666">
        <f>SUM(R617:R685)/2</f>
        <v>7840539</v>
      </c>
      <c r="S686" s="1664"/>
      <c r="T686" s="1666">
        <f>SUM(T617:T685)/2</f>
        <v>7989539</v>
      </c>
      <c r="U686" s="1664"/>
      <c r="V686" s="1666">
        <f>SUM(V617:V685)/2</f>
        <v>7999539</v>
      </c>
      <c r="W686" s="1664"/>
      <c r="X686" s="1666"/>
      <c r="Y686" s="1667"/>
    </row>
    <row r="687" spans="2:25" ht="13.5" thickTop="1" x14ac:dyDescent="0.25"/>
    <row r="688" spans="2:25" s="1671" customFormat="1" ht="13.5" thickBot="1" x14ac:dyDescent="0.3">
      <c r="B688" s="1895" t="s">
        <v>1851</v>
      </c>
      <c r="C688" s="1668"/>
      <c r="D688" s="1668"/>
      <c r="E688" s="1668"/>
      <c r="F688" s="1669"/>
      <c r="G688" s="1669"/>
      <c r="H688" s="1669"/>
      <c r="I688" s="1669"/>
      <c r="J688" s="1669"/>
      <c r="K688" s="1669"/>
      <c r="L688" s="1670"/>
      <c r="M688" s="1669"/>
      <c r="N688" s="1670"/>
      <c r="O688" s="1669"/>
      <c r="P688" s="1670"/>
      <c r="Q688" s="1669"/>
      <c r="R688" s="1670"/>
      <c r="S688" s="1669"/>
      <c r="T688" s="1670"/>
      <c r="U688" s="1669"/>
      <c r="V688" s="1670"/>
      <c r="W688" s="1669"/>
      <c r="X688" s="1669"/>
      <c r="Y688" s="1668"/>
    </row>
    <row r="689" spans="2:25" ht="13.5" thickTop="1" x14ac:dyDescent="0.25">
      <c r="B689" s="2045" t="s">
        <v>494</v>
      </c>
      <c r="C689" s="2040" t="s">
        <v>752</v>
      </c>
      <c r="D689" s="2040" t="s">
        <v>576</v>
      </c>
      <c r="E689" s="2040" t="s">
        <v>577</v>
      </c>
      <c r="F689" s="2040" t="s">
        <v>3127</v>
      </c>
      <c r="G689" s="2040" t="s">
        <v>3128</v>
      </c>
      <c r="H689" s="2040" t="s">
        <v>966</v>
      </c>
      <c r="I689" s="2040" t="s">
        <v>421</v>
      </c>
      <c r="J689" s="2055" t="s">
        <v>967</v>
      </c>
      <c r="K689" s="2053" t="s">
        <v>7</v>
      </c>
      <c r="L689" s="2054"/>
      <c r="M689" s="2054"/>
      <c r="N689" s="2054"/>
      <c r="O689" s="2054"/>
      <c r="P689" s="2054"/>
      <c r="Q689" s="2054"/>
      <c r="R689" s="2054"/>
      <c r="S689" s="2054"/>
      <c r="T689" s="2054"/>
      <c r="U689" s="2054"/>
      <c r="V689" s="2054"/>
      <c r="W689" s="2054"/>
      <c r="X689" s="2040" t="s">
        <v>653</v>
      </c>
      <c r="Y689" s="2049" t="s">
        <v>1147</v>
      </c>
    </row>
    <row r="690" spans="2:25" x14ac:dyDescent="0.25">
      <c r="B690" s="2046"/>
      <c r="C690" s="2041"/>
      <c r="D690" s="2041"/>
      <c r="E690" s="2041"/>
      <c r="F690" s="2041"/>
      <c r="G690" s="2041"/>
      <c r="H690" s="2041"/>
      <c r="I690" s="2041"/>
      <c r="J690" s="2052"/>
      <c r="K690" s="2051" t="s">
        <v>114</v>
      </c>
      <c r="L690" s="2038"/>
      <c r="M690" s="2051" t="s">
        <v>115</v>
      </c>
      <c r="N690" s="2038"/>
      <c r="O690" s="2051" t="s">
        <v>116</v>
      </c>
      <c r="P690" s="2038"/>
      <c r="Q690" s="2051" t="s">
        <v>117</v>
      </c>
      <c r="R690" s="2038"/>
      <c r="S690" s="2051" t="s">
        <v>118</v>
      </c>
      <c r="T690" s="2038"/>
      <c r="U690" s="2051" t="s">
        <v>119</v>
      </c>
      <c r="V690" s="2038"/>
      <c r="W690" s="2052" t="s">
        <v>968</v>
      </c>
      <c r="X690" s="2041"/>
      <c r="Y690" s="2050"/>
    </row>
    <row r="691" spans="2:25" x14ac:dyDescent="0.25">
      <c r="B691" s="2046"/>
      <c r="C691" s="2041"/>
      <c r="D691" s="2041"/>
      <c r="E691" s="2041"/>
      <c r="F691" s="2041"/>
      <c r="G691" s="2041"/>
      <c r="H691" s="2041"/>
      <c r="I691" s="2041"/>
      <c r="J691" s="2052"/>
      <c r="K691" s="1263" t="s">
        <v>9</v>
      </c>
      <c r="L691" s="1503" t="s">
        <v>3107</v>
      </c>
      <c r="M691" s="1263" t="s">
        <v>9</v>
      </c>
      <c r="N691" s="1503" t="s">
        <v>1355</v>
      </c>
      <c r="O691" s="1263" t="s">
        <v>9</v>
      </c>
      <c r="P691" s="1503" t="s">
        <v>1355</v>
      </c>
      <c r="Q691" s="1263" t="s">
        <v>9</v>
      </c>
      <c r="R691" s="1503" t="s">
        <v>1355</v>
      </c>
      <c r="S691" s="1263" t="s">
        <v>9</v>
      </c>
      <c r="T691" s="1503" t="s">
        <v>1355</v>
      </c>
      <c r="U691" s="1263" t="s">
        <v>9</v>
      </c>
      <c r="V691" s="1503" t="s">
        <v>1355</v>
      </c>
      <c r="W691" s="2052"/>
      <c r="X691" s="2041"/>
      <c r="Y691" s="2050"/>
    </row>
    <row r="692" spans="2:25" s="1239" customFormat="1" x14ac:dyDescent="0.25">
      <c r="B692" s="1504" t="s">
        <v>586</v>
      </c>
      <c r="C692" s="1448" t="s">
        <v>585</v>
      </c>
      <c r="D692" s="1448" t="s">
        <v>654</v>
      </c>
      <c r="E692" s="1448" t="s">
        <v>655</v>
      </c>
      <c r="F692" s="1505" t="s">
        <v>32</v>
      </c>
      <c r="G692" s="933">
        <v>6</v>
      </c>
      <c r="H692" s="1505">
        <v>7</v>
      </c>
      <c r="I692" s="1445" t="s">
        <v>3065</v>
      </c>
      <c r="J692" s="1269" t="s">
        <v>3066</v>
      </c>
      <c r="K692" s="1269" t="s">
        <v>3067</v>
      </c>
      <c r="L692" s="1506" t="s">
        <v>3068</v>
      </c>
      <c r="M692" s="1269" t="s">
        <v>3069</v>
      </c>
      <c r="N692" s="1506">
        <v>13</v>
      </c>
      <c r="O692" s="1269">
        <v>14</v>
      </c>
      <c r="P692" s="1506">
        <v>15</v>
      </c>
      <c r="Q692" s="1269">
        <v>16</v>
      </c>
      <c r="R692" s="1506">
        <v>17</v>
      </c>
      <c r="S692" s="1269">
        <v>18</v>
      </c>
      <c r="T692" s="1506">
        <v>19</v>
      </c>
      <c r="U692" s="1269">
        <v>20</v>
      </c>
      <c r="V692" s="1506">
        <v>21</v>
      </c>
      <c r="W692" s="1269">
        <v>22</v>
      </c>
      <c r="X692" s="1445">
        <v>23</v>
      </c>
      <c r="Y692" s="1507">
        <v>24</v>
      </c>
    </row>
    <row r="693" spans="2:25" s="210" customFormat="1" ht="76.5" customHeight="1" x14ac:dyDescent="0.25">
      <c r="B693" s="2079" t="s">
        <v>1651</v>
      </c>
      <c r="C693" s="2106" t="s">
        <v>423</v>
      </c>
      <c r="D693" s="2106" t="s">
        <v>3922</v>
      </c>
      <c r="E693" s="2106" t="s">
        <v>3923</v>
      </c>
      <c r="F693" s="1558" t="s">
        <v>3924</v>
      </c>
      <c r="G693" s="1047" t="s">
        <v>3746</v>
      </c>
      <c r="H693" s="1047" t="s">
        <v>873</v>
      </c>
      <c r="I693" s="1672" t="s">
        <v>19</v>
      </c>
      <c r="J693" s="1566">
        <v>41</v>
      </c>
      <c r="K693" s="1759">
        <v>50</v>
      </c>
      <c r="L693" s="1673"/>
      <c r="M693" s="1566">
        <v>60</v>
      </c>
      <c r="N693" s="1673"/>
      <c r="O693" s="1566">
        <v>70</v>
      </c>
      <c r="P693" s="1673"/>
      <c r="Q693" s="1566">
        <v>80</v>
      </c>
      <c r="R693" s="1673"/>
      <c r="S693" s="1566">
        <v>90</v>
      </c>
      <c r="T693" s="1673"/>
      <c r="U693" s="1566">
        <v>90</v>
      </c>
      <c r="V693" s="1673"/>
      <c r="W693" s="1674">
        <v>80</v>
      </c>
      <c r="X693" s="1559"/>
      <c r="Y693" s="1560" t="s">
        <v>1152</v>
      </c>
    </row>
    <row r="694" spans="2:25" s="210" customFormat="1" ht="63.75" x14ac:dyDescent="0.25">
      <c r="B694" s="2079"/>
      <c r="C694" s="2107"/>
      <c r="D694" s="2107"/>
      <c r="E694" s="2107"/>
      <c r="F694" s="1558"/>
      <c r="G694" s="1491" t="s">
        <v>874</v>
      </c>
      <c r="H694" s="1047" t="s">
        <v>3149</v>
      </c>
      <c r="I694" s="1049" t="s">
        <v>40</v>
      </c>
      <c r="J694" s="1496">
        <v>60</v>
      </c>
      <c r="K694" s="1496">
        <v>12</v>
      </c>
      <c r="L694" s="1675">
        <f>SUM(L695)</f>
        <v>209500</v>
      </c>
      <c r="M694" s="1496">
        <v>12</v>
      </c>
      <c r="N694" s="1675">
        <f>SUM(N695)</f>
        <v>213000</v>
      </c>
      <c r="O694" s="1496">
        <v>12</v>
      </c>
      <c r="P694" s="1675">
        <f>SUM(P695)</f>
        <v>234300</v>
      </c>
      <c r="Q694" s="1496">
        <v>12</v>
      </c>
      <c r="R694" s="1675">
        <f>SUM(R695)</f>
        <v>257730</v>
      </c>
      <c r="S694" s="1496">
        <v>12</v>
      </c>
      <c r="T694" s="1675">
        <f>SUM(T695)</f>
        <v>283503</v>
      </c>
      <c r="U694" s="1496">
        <v>12</v>
      </c>
      <c r="V694" s="1675">
        <f>SUM(V695)</f>
        <v>311853.3</v>
      </c>
      <c r="W694" s="1496">
        <v>60</v>
      </c>
      <c r="X694" s="1374"/>
      <c r="Y694" s="1560" t="s">
        <v>1152</v>
      </c>
    </row>
    <row r="695" spans="2:25" s="210" customFormat="1" ht="102" x14ac:dyDescent="0.25">
      <c r="B695" s="2079"/>
      <c r="C695" s="1370"/>
      <c r="D695" s="1370"/>
      <c r="E695" s="1370"/>
      <c r="F695" s="1370"/>
      <c r="G695" s="1676" t="s">
        <v>875</v>
      </c>
      <c r="H695" s="1371" t="s">
        <v>876</v>
      </c>
      <c r="I695" s="1677" t="s">
        <v>40</v>
      </c>
      <c r="J695" s="1678"/>
      <c r="K695" s="1678">
        <v>12</v>
      </c>
      <c r="L695" s="1679">
        <v>209500</v>
      </c>
      <c r="M695" s="1678">
        <v>12</v>
      </c>
      <c r="N695" s="1679">
        <v>213000</v>
      </c>
      <c r="O695" s="1678">
        <v>12</v>
      </c>
      <c r="P695" s="1680">
        <v>234300</v>
      </c>
      <c r="Q695" s="1678">
        <v>12</v>
      </c>
      <c r="R695" s="1680">
        <v>257730</v>
      </c>
      <c r="S695" s="1678">
        <v>12</v>
      </c>
      <c r="T695" s="1680">
        <v>283503</v>
      </c>
      <c r="U695" s="1678">
        <v>12</v>
      </c>
      <c r="V695" s="1680">
        <v>311853.3</v>
      </c>
      <c r="W695" s="1681">
        <v>60</v>
      </c>
      <c r="X695" s="1682"/>
      <c r="Y695" s="1560" t="s">
        <v>1152</v>
      </c>
    </row>
    <row r="696" spans="2:25" s="210" customFormat="1" ht="114.75" x14ac:dyDescent="0.25">
      <c r="B696" s="2079"/>
      <c r="C696" s="1370"/>
      <c r="D696" s="1370"/>
      <c r="E696" s="1370"/>
      <c r="F696" s="1370"/>
      <c r="G696" s="1047" t="s">
        <v>877</v>
      </c>
      <c r="H696" s="1047" t="s">
        <v>878</v>
      </c>
      <c r="I696" s="1049" t="s">
        <v>100</v>
      </c>
      <c r="J696" s="1496">
        <v>600</v>
      </c>
      <c r="K696" s="1496">
        <v>600</v>
      </c>
      <c r="L696" s="1675">
        <f>SUM(L697)</f>
        <v>165000</v>
      </c>
      <c r="M696" s="1496">
        <v>600</v>
      </c>
      <c r="N696" s="1675">
        <f>SUM(N697)</f>
        <v>170000</v>
      </c>
      <c r="O696" s="1496">
        <v>700</v>
      </c>
      <c r="P696" s="1675">
        <f>SUM(P697)</f>
        <v>187000</v>
      </c>
      <c r="Q696" s="1496">
        <v>800</v>
      </c>
      <c r="R696" s="1675">
        <f>SUM(R697)</f>
        <v>205700</v>
      </c>
      <c r="S696" s="1496">
        <v>900</v>
      </c>
      <c r="T696" s="1675">
        <f>SUM(T697)</f>
        <v>226270</v>
      </c>
      <c r="U696" s="1496">
        <v>900</v>
      </c>
      <c r="V696" s="1675">
        <f>SUM(V697)</f>
        <v>248897</v>
      </c>
      <c r="W696" s="1373">
        <v>3600</v>
      </c>
      <c r="X696" s="1374"/>
      <c r="Y696" s="1560" t="s">
        <v>1152</v>
      </c>
    </row>
    <row r="697" spans="2:25" s="210" customFormat="1" ht="76.5" x14ac:dyDescent="0.25">
      <c r="B697" s="2079"/>
      <c r="C697" s="1370"/>
      <c r="D697" s="1370"/>
      <c r="E697" s="1370"/>
      <c r="F697" s="1370"/>
      <c r="G697" s="2080" t="s">
        <v>879</v>
      </c>
      <c r="H697" s="1683" t="s">
        <v>880</v>
      </c>
      <c r="I697" s="1049" t="s">
        <v>100</v>
      </c>
      <c r="J697" s="1684">
        <v>600</v>
      </c>
      <c r="K697" s="1496">
        <v>600</v>
      </c>
      <c r="L697" s="1685">
        <v>165000</v>
      </c>
      <c r="M697" s="1496">
        <v>600</v>
      </c>
      <c r="N697" s="1685">
        <v>170000</v>
      </c>
      <c r="O697" s="1496">
        <v>700</v>
      </c>
      <c r="P697" s="1686">
        <v>187000</v>
      </c>
      <c r="Q697" s="1496">
        <v>800</v>
      </c>
      <c r="R697" s="1687">
        <v>205700</v>
      </c>
      <c r="S697" s="1496">
        <v>900</v>
      </c>
      <c r="T697" s="1687">
        <v>226270</v>
      </c>
      <c r="U697" s="1496">
        <v>900</v>
      </c>
      <c r="V697" s="1687">
        <v>248897</v>
      </c>
      <c r="W697" s="1373">
        <v>3600</v>
      </c>
      <c r="X697" s="1688"/>
      <c r="Y697" s="1560" t="s">
        <v>1152</v>
      </c>
    </row>
    <row r="698" spans="2:25" s="210" customFormat="1" ht="25.5" x14ac:dyDescent="0.25">
      <c r="B698" s="2079"/>
      <c r="C698" s="1370"/>
      <c r="D698" s="1370"/>
      <c r="E698" s="1370"/>
      <c r="F698" s="1370"/>
      <c r="G698" s="2080"/>
      <c r="H698" s="1683" t="s">
        <v>881</v>
      </c>
      <c r="I698" s="1049" t="s">
        <v>103</v>
      </c>
      <c r="J698" s="1678"/>
      <c r="K698" s="1496">
        <v>2</v>
      </c>
      <c r="L698" s="1679">
        <v>0</v>
      </c>
      <c r="M698" s="1496">
        <v>2</v>
      </c>
      <c r="N698" s="1679">
        <v>0</v>
      </c>
      <c r="O698" s="1496">
        <v>2</v>
      </c>
      <c r="P698" s="1680">
        <v>0</v>
      </c>
      <c r="Q698" s="1496">
        <v>2</v>
      </c>
      <c r="R698" s="1689">
        <v>0</v>
      </c>
      <c r="S698" s="1496">
        <v>2</v>
      </c>
      <c r="T698" s="1689">
        <v>0</v>
      </c>
      <c r="U698" s="1496">
        <v>2</v>
      </c>
      <c r="V698" s="1689">
        <v>0</v>
      </c>
      <c r="W698" s="1373">
        <v>10</v>
      </c>
      <c r="X698" s="1690"/>
      <c r="Y698" s="1560" t="s">
        <v>1152</v>
      </c>
    </row>
    <row r="699" spans="2:25" s="210" customFormat="1" ht="76.5" x14ac:dyDescent="0.25">
      <c r="B699" s="2079"/>
      <c r="C699" s="1370"/>
      <c r="D699" s="1370"/>
      <c r="E699" s="1370"/>
      <c r="F699" s="1370"/>
      <c r="G699" s="1047" t="s">
        <v>882</v>
      </c>
      <c r="H699" s="1047" t="s">
        <v>883</v>
      </c>
      <c r="I699" s="1049" t="s">
        <v>100</v>
      </c>
      <c r="J699" s="1372">
        <v>0</v>
      </c>
      <c r="K699" s="1372">
        <v>0</v>
      </c>
      <c r="L699" s="1372">
        <f>SUM(L700:L702)</f>
        <v>44000</v>
      </c>
      <c r="M699" s="1372">
        <v>104</v>
      </c>
      <c r="N699" s="1372">
        <f>SUM(N700:N702)</f>
        <v>195000</v>
      </c>
      <c r="O699" s="1372">
        <v>208</v>
      </c>
      <c r="P699" s="1372">
        <f>SUM(P700:P702)</f>
        <v>217500</v>
      </c>
      <c r="Q699" s="1372">
        <v>460</v>
      </c>
      <c r="R699" s="1372">
        <f>SUM(R700:R702)</f>
        <v>297500</v>
      </c>
      <c r="S699" s="1372">
        <v>920</v>
      </c>
      <c r="T699" s="1372">
        <f>SUM(T700:T702)</f>
        <v>350000</v>
      </c>
      <c r="U699" s="1372">
        <v>920</v>
      </c>
      <c r="V699" s="1372">
        <f>SUM(V700:V702)</f>
        <v>350000</v>
      </c>
      <c r="W699" s="1373">
        <v>1692</v>
      </c>
      <c r="X699" s="1374"/>
      <c r="Y699" s="1560" t="s">
        <v>1152</v>
      </c>
    </row>
    <row r="700" spans="2:25" s="210" customFormat="1" ht="102" x14ac:dyDescent="0.25">
      <c r="B700" s="2079"/>
      <c r="C700" s="1370"/>
      <c r="D700" s="1370"/>
      <c r="E700" s="1370"/>
      <c r="F700" s="1370"/>
      <c r="G700" s="1047" t="s">
        <v>884</v>
      </c>
      <c r="H700" s="1047" t="s">
        <v>885</v>
      </c>
      <c r="I700" s="1049" t="s">
        <v>100</v>
      </c>
      <c r="J700" s="1374"/>
      <c r="K700" s="1374">
        <v>0</v>
      </c>
      <c r="L700" s="1691">
        <v>0</v>
      </c>
      <c r="M700" s="1374">
        <v>104</v>
      </c>
      <c r="N700" s="1691">
        <v>150000</v>
      </c>
      <c r="O700" s="1374">
        <v>208</v>
      </c>
      <c r="P700" s="1691">
        <v>170000</v>
      </c>
      <c r="Q700" s="1374">
        <v>460</v>
      </c>
      <c r="R700" s="1691">
        <v>250000</v>
      </c>
      <c r="S700" s="1374">
        <v>920</v>
      </c>
      <c r="T700" s="1691">
        <v>300000</v>
      </c>
      <c r="U700" s="1374">
        <v>920</v>
      </c>
      <c r="V700" s="1691">
        <v>300000</v>
      </c>
      <c r="W700" s="1561">
        <v>1692</v>
      </c>
      <c r="X700" s="1374"/>
      <c r="Y700" s="1560" t="s">
        <v>1152</v>
      </c>
    </row>
    <row r="701" spans="2:25" s="210" customFormat="1" ht="51" x14ac:dyDescent="0.25">
      <c r="B701" s="2079"/>
      <c r="C701" s="1370"/>
      <c r="D701" s="1370"/>
      <c r="E701" s="1370"/>
      <c r="F701" s="1370"/>
      <c r="G701" s="2080" t="s">
        <v>886</v>
      </c>
      <c r="H701" s="1047" t="s">
        <v>887</v>
      </c>
      <c r="I701" s="1049" t="s">
        <v>888</v>
      </c>
      <c r="J701" s="1496"/>
      <c r="K701" s="1496">
        <v>30</v>
      </c>
      <c r="L701" s="1692">
        <v>44000</v>
      </c>
      <c r="M701" s="1496">
        <v>30</v>
      </c>
      <c r="N701" s="1692">
        <v>45000</v>
      </c>
      <c r="O701" s="1496">
        <v>30</v>
      </c>
      <c r="P701" s="1692">
        <v>47500</v>
      </c>
      <c r="Q701" s="1496">
        <v>30</v>
      </c>
      <c r="R701" s="1692">
        <v>47500</v>
      </c>
      <c r="S701" s="1496">
        <v>30</v>
      </c>
      <c r="T701" s="1692">
        <v>50000</v>
      </c>
      <c r="U701" s="1496">
        <v>30</v>
      </c>
      <c r="V701" s="1692">
        <v>50000</v>
      </c>
      <c r="W701" s="1373">
        <v>150</v>
      </c>
      <c r="X701" s="1688"/>
      <c r="Y701" s="1560" t="s">
        <v>1152</v>
      </c>
    </row>
    <row r="702" spans="2:25" s="210" customFormat="1" ht="38.25" x14ac:dyDescent="0.25">
      <c r="B702" s="2079"/>
      <c r="C702" s="1370"/>
      <c r="D702" s="1370"/>
      <c r="E702" s="1370"/>
      <c r="F702" s="1370"/>
      <c r="G702" s="2080"/>
      <c r="H702" s="1047" t="s">
        <v>889</v>
      </c>
      <c r="I702" s="1049" t="s">
        <v>100</v>
      </c>
      <c r="J702" s="1496"/>
      <c r="K702" s="1496"/>
      <c r="L702" s="1693">
        <v>0</v>
      </c>
      <c r="M702" s="1496"/>
      <c r="N702" s="1693">
        <v>0</v>
      </c>
      <c r="O702" s="1496"/>
      <c r="P702" s="1693">
        <v>0</v>
      </c>
      <c r="Q702" s="1496"/>
      <c r="R702" s="1693">
        <v>0</v>
      </c>
      <c r="S702" s="1496"/>
      <c r="T702" s="1693">
        <v>0</v>
      </c>
      <c r="U702" s="1496"/>
      <c r="V702" s="1693">
        <v>0</v>
      </c>
      <c r="W702" s="1373">
        <v>0</v>
      </c>
      <c r="X702" s="1690"/>
      <c r="Y702" s="1560" t="s">
        <v>1152</v>
      </c>
    </row>
    <row r="703" spans="2:25" s="210" customFormat="1" ht="63.75" x14ac:dyDescent="0.25">
      <c r="B703" s="2079"/>
      <c r="C703" s="1370"/>
      <c r="D703" s="1370"/>
      <c r="E703" s="1370"/>
      <c r="F703" s="1370"/>
      <c r="G703" s="1694" t="s">
        <v>890</v>
      </c>
      <c r="H703" s="1047" t="s">
        <v>891</v>
      </c>
      <c r="I703" s="1049" t="s">
        <v>100</v>
      </c>
      <c r="J703" s="1374">
        <v>200</v>
      </c>
      <c r="K703" s="1374">
        <v>150</v>
      </c>
      <c r="L703" s="1247">
        <f>SUM(L704:L706)</f>
        <v>752553</v>
      </c>
      <c r="M703" s="1374">
        <v>150</v>
      </c>
      <c r="N703" s="1247">
        <f>SUM(N704:N706)</f>
        <v>847000</v>
      </c>
      <c r="O703" s="1374">
        <v>150</v>
      </c>
      <c r="P703" s="1247">
        <f>SUM(P704:P706)</f>
        <v>852000</v>
      </c>
      <c r="Q703" s="1374">
        <v>150</v>
      </c>
      <c r="R703" s="1247">
        <f>SUM(R704:R706)</f>
        <v>865000</v>
      </c>
      <c r="S703" s="1374">
        <v>150</v>
      </c>
      <c r="T703" s="1247">
        <f>SUM(T704:T706)</f>
        <v>877000</v>
      </c>
      <c r="U703" s="1374">
        <v>150</v>
      </c>
      <c r="V703" s="1247">
        <f>SUM(V704:V706)</f>
        <v>877000</v>
      </c>
      <c r="W703" s="1561">
        <v>750</v>
      </c>
      <c r="X703" s="1374"/>
      <c r="Y703" s="1560" t="s">
        <v>1152</v>
      </c>
    </row>
    <row r="704" spans="2:25" s="210" customFormat="1" ht="38.25" x14ac:dyDescent="0.25">
      <c r="B704" s="2079"/>
      <c r="C704" s="1370"/>
      <c r="D704" s="1370"/>
      <c r="E704" s="1370"/>
      <c r="F704" s="1370"/>
      <c r="G704" s="1694" t="s">
        <v>892</v>
      </c>
      <c r="H704" s="1047" t="s">
        <v>893</v>
      </c>
      <c r="I704" s="1049" t="s">
        <v>100</v>
      </c>
      <c r="J704" s="1374">
        <v>170</v>
      </c>
      <c r="K704" s="1374">
        <v>200</v>
      </c>
      <c r="L704" s="1247">
        <v>65053</v>
      </c>
      <c r="M704" s="1374">
        <v>200</v>
      </c>
      <c r="N704" s="1247">
        <v>82000</v>
      </c>
      <c r="O704" s="1374">
        <v>200</v>
      </c>
      <c r="P704" s="1247">
        <v>67000</v>
      </c>
      <c r="Q704" s="1374">
        <v>200</v>
      </c>
      <c r="R704" s="1247">
        <v>70000</v>
      </c>
      <c r="S704" s="1374">
        <v>200</v>
      </c>
      <c r="T704" s="1247">
        <v>72000</v>
      </c>
      <c r="U704" s="1374">
        <v>200</v>
      </c>
      <c r="V704" s="1247">
        <v>72000</v>
      </c>
      <c r="W704" s="1561">
        <v>1000</v>
      </c>
      <c r="X704" s="1374"/>
      <c r="Y704" s="1560" t="s">
        <v>1152</v>
      </c>
    </row>
    <row r="705" spans="2:25" s="210" customFormat="1" ht="38.25" x14ac:dyDescent="0.25">
      <c r="B705" s="2079"/>
      <c r="C705" s="1370"/>
      <c r="D705" s="1370"/>
      <c r="E705" s="1370"/>
      <c r="F705" s="1370"/>
      <c r="G705" s="1694" t="s">
        <v>894</v>
      </c>
      <c r="H705" s="1047" t="s">
        <v>893</v>
      </c>
      <c r="I705" s="1049" t="s">
        <v>100</v>
      </c>
      <c r="J705" s="1374">
        <v>200</v>
      </c>
      <c r="K705" s="1374">
        <v>150</v>
      </c>
      <c r="L705" s="1247">
        <v>687500</v>
      </c>
      <c r="M705" s="1374">
        <v>150</v>
      </c>
      <c r="N705" s="1247">
        <v>690000</v>
      </c>
      <c r="O705" s="1374">
        <v>150</v>
      </c>
      <c r="P705" s="1247">
        <v>705000</v>
      </c>
      <c r="Q705" s="1374">
        <v>150</v>
      </c>
      <c r="R705" s="1247">
        <v>710000</v>
      </c>
      <c r="S705" s="1374">
        <v>150</v>
      </c>
      <c r="T705" s="1247">
        <v>715000</v>
      </c>
      <c r="U705" s="1374">
        <v>150</v>
      </c>
      <c r="V705" s="1247">
        <v>715000</v>
      </c>
      <c r="W705" s="1561">
        <v>750</v>
      </c>
      <c r="X705" s="1374"/>
      <c r="Y705" s="1560" t="s">
        <v>1152</v>
      </c>
    </row>
    <row r="706" spans="2:25" s="210" customFormat="1" ht="38.25" x14ac:dyDescent="0.25">
      <c r="B706" s="2079"/>
      <c r="C706" s="1370"/>
      <c r="D706" s="1370"/>
      <c r="E706" s="1370"/>
      <c r="F706" s="1370"/>
      <c r="G706" s="1694" t="s">
        <v>895</v>
      </c>
      <c r="H706" s="1047" t="s">
        <v>893</v>
      </c>
      <c r="I706" s="1049"/>
      <c r="J706" s="1374">
        <v>0</v>
      </c>
      <c r="K706" s="1374">
        <v>0</v>
      </c>
      <c r="L706" s="1247">
        <v>0</v>
      </c>
      <c r="M706" s="1374">
        <v>150</v>
      </c>
      <c r="N706" s="1247">
        <v>75000</v>
      </c>
      <c r="O706" s="1374">
        <v>150</v>
      </c>
      <c r="P706" s="1247">
        <v>80000</v>
      </c>
      <c r="Q706" s="1374">
        <v>150</v>
      </c>
      <c r="R706" s="1247">
        <v>85000</v>
      </c>
      <c r="S706" s="1374">
        <v>150</v>
      </c>
      <c r="T706" s="1247">
        <v>90000</v>
      </c>
      <c r="U706" s="1374">
        <v>150</v>
      </c>
      <c r="V706" s="1247">
        <v>90000</v>
      </c>
      <c r="W706" s="1561">
        <v>600</v>
      </c>
      <c r="X706" s="1374"/>
      <c r="Y706" s="1560" t="s">
        <v>1152</v>
      </c>
    </row>
    <row r="707" spans="2:25" s="210" customFormat="1" ht="89.25" x14ac:dyDescent="0.25">
      <c r="B707" s="2079"/>
      <c r="C707" s="1370"/>
      <c r="D707" s="1370"/>
      <c r="E707" s="1370"/>
      <c r="F707" s="1370"/>
      <c r="G707" s="1694" t="s">
        <v>896</v>
      </c>
      <c r="H707" s="1047" t="s">
        <v>897</v>
      </c>
      <c r="I707" s="1049"/>
      <c r="J707" s="1496">
        <v>200</v>
      </c>
      <c r="K707" s="1496">
        <v>200</v>
      </c>
      <c r="L707" s="1372">
        <f>SUM(L708:L709)</f>
        <v>153000</v>
      </c>
      <c r="M707" s="1496">
        <v>200</v>
      </c>
      <c r="N707" s="1372">
        <f>SUM(N708:N709)</f>
        <v>141000</v>
      </c>
      <c r="O707" s="1496">
        <v>200</v>
      </c>
      <c r="P707" s="1372">
        <f>SUM(P708:P709)</f>
        <v>146000</v>
      </c>
      <c r="Q707" s="1496">
        <v>200</v>
      </c>
      <c r="R707" s="1372">
        <f>SUM(R708:R709)</f>
        <v>151000</v>
      </c>
      <c r="S707" s="1496">
        <v>200</v>
      </c>
      <c r="T707" s="1372">
        <f>SUM(T708:T709)</f>
        <v>154500</v>
      </c>
      <c r="U707" s="1496">
        <v>200</v>
      </c>
      <c r="V707" s="1372">
        <f>SUM(V708:V709)</f>
        <v>154500</v>
      </c>
      <c r="W707" s="1373">
        <v>1000</v>
      </c>
      <c r="X707" s="1374"/>
      <c r="Y707" s="1560" t="s">
        <v>1152</v>
      </c>
    </row>
    <row r="708" spans="2:25" s="210" customFormat="1" ht="51" x14ac:dyDescent="0.25">
      <c r="B708" s="2079"/>
      <c r="C708" s="1370"/>
      <c r="D708" s="1370"/>
      <c r="E708" s="1370"/>
      <c r="F708" s="1370"/>
      <c r="G708" s="1694" t="s">
        <v>898</v>
      </c>
      <c r="H708" s="1047" t="s">
        <v>899</v>
      </c>
      <c r="I708" s="1049"/>
      <c r="J708" s="1496">
        <v>200</v>
      </c>
      <c r="K708" s="1496">
        <v>200</v>
      </c>
      <c r="L708" s="1372">
        <v>66000</v>
      </c>
      <c r="M708" s="1496">
        <v>200</v>
      </c>
      <c r="N708" s="1372">
        <v>68000</v>
      </c>
      <c r="O708" s="1496">
        <v>200</v>
      </c>
      <c r="P708" s="1372">
        <v>70000</v>
      </c>
      <c r="Q708" s="1496">
        <v>200</v>
      </c>
      <c r="R708" s="1372">
        <v>72000</v>
      </c>
      <c r="S708" s="1496">
        <v>200</v>
      </c>
      <c r="T708" s="1372">
        <v>73500</v>
      </c>
      <c r="U708" s="1496">
        <v>200</v>
      </c>
      <c r="V708" s="1372">
        <v>73500</v>
      </c>
      <c r="W708" s="1373">
        <v>1000</v>
      </c>
      <c r="X708" s="1374"/>
      <c r="Y708" s="1560" t="s">
        <v>1152</v>
      </c>
    </row>
    <row r="709" spans="2:25" s="210" customFormat="1" ht="63.75" x14ac:dyDescent="0.25">
      <c r="B709" s="2079"/>
      <c r="C709" s="1370"/>
      <c r="D709" s="1370"/>
      <c r="E709" s="1370"/>
      <c r="F709" s="1370"/>
      <c r="G709" s="1694" t="s">
        <v>900</v>
      </c>
      <c r="H709" s="1047" t="s">
        <v>901</v>
      </c>
      <c r="I709" s="1049"/>
      <c r="J709" s="1496">
        <v>75</v>
      </c>
      <c r="K709" s="1496">
        <v>150</v>
      </c>
      <c r="L709" s="1372">
        <v>87000</v>
      </c>
      <c r="M709" s="1496">
        <v>150</v>
      </c>
      <c r="N709" s="1372">
        <v>73000</v>
      </c>
      <c r="O709" s="1496">
        <v>150</v>
      </c>
      <c r="P709" s="1372">
        <v>76000</v>
      </c>
      <c r="Q709" s="1496">
        <v>150</v>
      </c>
      <c r="R709" s="1372">
        <v>79000</v>
      </c>
      <c r="S709" s="1496">
        <v>150</v>
      </c>
      <c r="T709" s="1372">
        <v>81000</v>
      </c>
      <c r="U709" s="1496">
        <v>150</v>
      </c>
      <c r="V709" s="1372">
        <v>81000</v>
      </c>
      <c r="W709" s="1373">
        <v>750</v>
      </c>
      <c r="X709" s="1374"/>
      <c r="Y709" s="1560" t="s">
        <v>1152</v>
      </c>
    </row>
    <row r="710" spans="2:25" s="210" customFormat="1" ht="63.75" x14ac:dyDescent="0.25">
      <c r="B710" s="2079"/>
      <c r="C710" s="1370"/>
      <c r="D710" s="1370"/>
      <c r="E710" s="1370"/>
      <c r="F710" s="1370"/>
      <c r="G710" s="1047" t="s">
        <v>902</v>
      </c>
      <c r="H710" s="1047" t="s">
        <v>903</v>
      </c>
      <c r="I710" s="1049"/>
      <c r="J710" s="1496">
        <v>75</v>
      </c>
      <c r="K710" s="1374">
        <v>50</v>
      </c>
      <c r="L710" s="1247">
        <f>SUM(L711)</f>
        <v>32500</v>
      </c>
      <c r="M710" s="1374">
        <v>60</v>
      </c>
      <c r="N710" s="1247">
        <f>SUM(N711)</f>
        <v>35000</v>
      </c>
      <c r="O710" s="1374">
        <v>70</v>
      </c>
      <c r="P710" s="1247">
        <f>SUM(P711)</f>
        <v>37500</v>
      </c>
      <c r="Q710" s="1374">
        <v>70</v>
      </c>
      <c r="R710" s="1247">
        <f>SUM(R711)</f>
        <v>37500</v>
      </c>
      <c r="S710" s="1374">
        <v>70</v>
      </c>
      <c r="T710" s="1247">
        <f>SUM(T711)</f>
        <v>40000</v>
      </c>
      <c r="U710" s="1374">
        <v>70</v>
      </c>
      <c r="V710" s="1247">
        <f>SUM(V711)</f>
        <v>40000</v>
      </c>
      <c r="W710" s="1373">
        <v>320</v>
      </c>
      <c r="X710" s="1374"/>
      <c r="Y710" s="1560" t="s">
        <v>1152</v>
      </c>
    </row>
    <row r="711" spans="2:25" s="210" customFormat="1" ht="51" x14ac:dyDescent="0.25">
      <c r="B711" s="2079"/>
      <c r="C711" s="1370"/>
      <c r="D711" s="1370"/>
      <c r="E711" s="1370"/>
      <c r="F711" s="1370"/>
      <c r="G711" s="1047" t="s">
        <v>904</v>
      </c>
      <c r="H711" s="1047" t="s">
        <v>905</v>
      </c>
      <c r="I711" s="1049"/>
      <c r="J711" s="1496">
        <v>75</v>
      </c>
      <c r="K711" s="1566">
        <v>50</v>
      </c>
      <c r="L711" s="1673">
        <v>32500</v>
      </c>
      <c r="M711" s="1566">
        <v>60</v>
      </c>
      <c r="N711" s="1673">
        <v>35000</v>
      </c>
      <c r="O711" s="1566">
        <v>70</v>
      </c>
      <c r="P711" s="1673">
        <v>37500</v>
      </c>
      <c r="Q711" s="1566">
        <v>70</v>
      </c>
      <c r="R711" s="1673">
        <v>37500</v>
      </c>
      <c r="S711" s="1566">
        <v>70</v>
      </c>
      <c r="T711" s="1673">
        <v>40000</v>
      </c>
      <c r="U711" s="1566">
        <v>70</v>
      </c>
      <c r="V711" s="1673">
        <v>40000</v>
      </c>
      <c r="W711" s="1373">
        <v>320</v>
      </c>
      <c r="X711" s="1374"/>
      <c r="Y711" s="1560" t="s">
        <v>1152</v>
      </c>
    </row>
    <row r="712" spans="2:25" s="210" customFormat="1" x14ac:dyDescent="0.25">
      <c r="B712" s="2079"/>
      <c r="C712" s="1370"/>
      <c r="D712" s="1047"/>
      <c r="E712" s="1047"/>
      <c r="F712" s="1047"/>
      <c r="G712" s="1558"/>
      <c r="H712" s="1047"/>
      <c r="I712" s="1049"/>
      <c r="J712" s="1750"/>
      <c r="K712" s="1566"/>
      <c r="L712" s="1686"/>
      <c r="M712" s="1566"/>
      <c r="N712" s="1686"/>
      <c r="O712" s="1566"/>
      <c r="P712" s="1686"/>
      <c r="Q712" s="1566"/>
      <c r="R712" s="1686"/>
      <c r="S712" s="1566"/>
      <c r="T712" s="1686"/>
      <c r="U712" s="1566"/>
      <c r="V712" s="1686"/>
      <c r="W712" s="1373"/>
      <c r="X712" s="1374"/>
      <c r="Y712" s="1560"/>
    </row>
    <row r="713" spans="2:25" s="210" customFormat="1" ht="89.25" x14ac:dyDescent="0.25">
      <c r="B713" s="2079"/>
      <c r="C713" s="1370"/>
      <c r="D713" s="1047" t="s">
        <v>3928</v>
      </c>
      <c r="E713" s="1047" t="s">
        <v>3927</v>
      </c>
      <c r="F713" s="173" t="s">
        <v>3926</v>
      </c>
      <c r="G713" s="1737" t="s">
        <v>3925</v>
      </c>
      <c r="H713" s="1047"/>
      <c r="I713" s="1049"/>
      <c r="J713" s="1750">
        <v>62.51</v>
      </c>
      <c r="K713" s="1566">
        <v>0</v>
      </c>
      <c r="L713" s="1686"/>
      <c r="M713" s="1566">
        <v>0</v>
      </c>
      <c r="N713" s="1686"/>
      <c r="O713" s="1566">
        <v>70</v>
      </c>
      <c r="P713" s="1686"/>
      <c r="Q713" s="1566">
        <v>70</v>
      </c>
      <c r="R713" s="1686"/>
      <c r="S713" s="1566">
        <v>0</v>
      </c>
      <c r="T713" s="1686"/>
      <c r="U713" s="1566">
        <v>70</v>
      </c>
      <c r="V713" s="1686"/>
      <c r="W713" s="1373">
        <v>70</v>
      </c>
      <c r="X713" s="1374"/>
      <c r="Y713" s="1560"/>
    </row>
    <row r="714" spans="2:25" s="210" customFormat="1" ht="76.5" x14ac:dyDescent="0.25">
      <c r="B714" s="2079"/>
      <c r="C714" s="1370"/>
      <c r="D714" s="1370"/>
      <c r="E714" s="1370"/>
      <c r="F714" s="1370"/>
      <c r="G714" s="1558" t="s">
        <v>907</v>
      </c>
      <c r="H714" s="1047" t="s">
        <v>906</v>
      </c>
      <c r="I714" s="1672" t="s">
        <v>19</v>
      </c>
      <c r="J714" s="1566">
        <v>62.51</v>
      </c>
      <c r="K714" s="1695" t="s">
        <v>313</v>
      </c>
      <c r="L714" s="1692">
        <f>SUM(L715:L719)</f>
        <v>216000</v>
      </c>
      <c r="M714" s="1695" t="s">
        <v>313</v>
      </c>
      <c r="N714" s="1692">
        <v>298000</v>
      </c>
      <c r="O714" s="1566">
        <v>70</v>
      </c>
      <c r="P714" s="1692">
        <v>360000</v>
      </c>
      <c r="Q714" s="1566">
        <v>70</v>
      </c>
      <c r="R714" s="1692">
        <v>565000</v>
      </c>
      <c r="S714" s="1566">
        <v>70</v>
      </c>
      <c r="T714" s="1692">
        <v>605000</v>
      </c>
      <c r="U714" s="1566">
        <v>70</v>
      </c>
      <c r="V714" s="1692">
        <v>605000</v>
      </c>
      <c r="W714" s="1566">
        <v>70</v>
      </c>
      <c r="X714" s="1696"/>
      <c r="Y714" s="1560" t="s">
        <v>1152</v>
      </c>
    </row>
    <row r="715" spans="2:25" s="210" customFormat="1" ht="38.25" x14ac:dyDescent="0.25">
      <c r="B715" s="2079"/>
      <c r="C715" s="1370"/>
      <c r="D715" s="1370"/>
      <c r="E715" s="1370"/>
      <c r="F715" s="1370"/>
      <c r="G715" s="2080" t="s">
        <v>908</v>
      </c>
      <c r="H715" s="1047" t="s">
        <v>909</v>
      </c>
      <c r="I715" s="1049" t="s">
        <v>100</v>
      </c>
      <c r="J715" s="1374">
        <v>300</v>
      </c>
      <c r="K715" s="1374">
        <v>200</v>
      </c>
      <c r="L715" s="1247">
        <v>66000</v>
      </c>
      <c r="M715" s="1374">
        <v>225</v>
      </c>
      <c r="N715" s="1247">
        <v>68000</v>
      </c>
      <c r="O715" s="1374">
        <v>300</v>
      </c>
      <c r="P715" s="1247">
        <v>100000</v>
      </c>
      <c r="Q715" s="1374">
        <v>300</v>
      </c>
      <c r="R715" s="1247">
        <v>100000</v>
      </c>
      <c r="S715" s="1374">
        <v>300</v>
      </c>
      <c r="T715" s="1247">
        <v>100000</v>
      </c>
      <c r="U715" s="1374">
        <v>300</v>
      </c>
      <c r="V715" s="1247">
        <v>100000</v>
      </c>
      <c r="W715" s="1561">
        <v>1325</v>
      </c>
      <c r="X715" s="1374"/>
      <c r="Y715" s="1560" t="s">
        <v>1152</v>
      </c>
    </row>
    <row r="716" spans="2:25" s="210" customFormat="1" ht="38.25" x14ac:dyDescent="0.25">
      <c r="B716" s="2079"/>
      <c r="C716" s="1370"/>
      <c r="D716" s="1370"/>
      <c r="E716" s="1370"/>
      <c r="F716" s="1370"/>
      <c r="G716" s="2080"/>
      <c r="H716" s="1047" t="s">
        <v>910</v>
      </c>
      <c r="I716" s="1049" t="s">
        <v>100</v>
      </c>
      <c r="J716" s="1374">
        <v>1200</v>
      </c>
      <c r="K716" s="1374">
        <v>300</v>
      </c>
      <c r="L716" s="1247">
        <v>100000</v>
      </c>
      <c r="M716" s="1374">
        <v>300</v>
      </c>
      <c r="N716" s="1247">
        <v>100000</v>
      </c>
      <c r="O716" s="1374">
        <v>300</v>
      </c>
      <c r="P716" s="1247">
        <v>100000</v>
      </c>
      <c r="Q716" s="1374">
        <v>1000</v>
      </c>
      <c r="R716" s="1247">
        <v>270000</v>
      </c>
      <c r="S716" s="1374">
        <v>1000</v>
      </c>
      <c r="T716" s="1247">
        <v>285000</v>
      </c>
      <c r="U716" s="1374">
        <v>1000</v>
      </c>
      <c r="V716" s="1247">
        <v>285000</v>
      </c>
      <c r="W716" s="1561">
        <v>2900</v>
      </c>
      <c r="X716" s="1374"/>
      <c r="Y716" s="1560" t="s">
        <v>1152</v>
      </c>
    </row>
    <row r="717" spans="2:25" s="210" customFormat="1" ht="51" x14ac:dyDescent="0.25">
      <c r="B717" s="2079"/>
      <c r="C717" s="1370"/>
      <c r="D717" s="1370"/>
      <c r="E717" s="1370"/>
      <c r="F717" s="1370"/>
      <c r="G717" s="1047" t="s">
        <v>908</v>
      </c>
      <c r="H717" s="1047" t="s">
        <v>911</v>
      </c>
      <c r="I717" s="1049" t="s">
        <v>109</v>
      </c>
      <c r="J717" s="1496">
        <v>26</v>
      </c>
      <c r="K717" s="1496">
        <v>26</v>
      </c>
      <c r="L717" s="1372">
        <v>50000</v>
      </c>
      <c r="M717" s="1496">
        <v>26</v>
      </c>
      <c r="N717" s="1372">
        <v>50000</v>
      </c>
      <c r="O717" s="1496">
        <v>26</v>
      </c>
      <c r="P717" s="1372">
        <v>60000</v>
      </c>
      <c r="Q717" s="1496">
        <v>26</v>
      </c>
      <c r="R717" s="1372">
        <v>75000</v>
      </c>
      <c r="S717" s="1496">
        <v>26</v>
      </c>
      <c r="T717" s="1372">
        <v>80000</v>
      </c>
      <c r="U717" s="1496">
        <v>26</v>
      </c>
      <c r="V717" s="1372">
        <v>80000</v>
      </c>
      <c r="W717" s="1373">
        <v>130</v>
      </c>
      <c r="X717" s="1374"/>
      <c r="Y717" s="1560" t="s">
        <v>1152</v>
      </c>
    </row>
    <row r="718" spans="2:25" s="210" customFormat="1" ht="89.25" x14ac:dyDescent="0.25">
      <c r="B718" s="2079"/>
      <c r="C718" s="1370"/>
      <c r="D718" s="1370"/>
      <c r="E718" s="1370"/>
      <c r="F718" s="1370"/>
      <c r="G718" s="1047" t="s">
        <v>912</v>
      </c>
      <c r="H718" s="1047" t="s">
        <v>913</v>
      </c>
      <c r="I718" s="1049" t="s">
        <v>100</v>
      </c>
      <c r="J718" s="1697">
        <v>0</v>
      </c>
      <c r="K718" s="1697">
        <v>0</v>
      </c>
      <c r="L718" s="1691">
        <v>0</v>
      </c>
      <c r="M718" s="1697">
        <v>100</v>
      </c>
      <c r="N718" s="1691">
        <v>40000</v>
      </c>
      <c r="O718" s="1697">
        <v>100</v>
      </c>
      <c r="P718" s="1691">
        <v>50000</v>
      </c>
      <c r="Q718" s="1697">
        <v>100</v>
      </c>
      <c r="R718" s="1691">
        <v>60000</v>
      </c>
      <c r="S718" s="1697">
        <v>100</v>
      </c>
      <c r="T718" s="1691">
        <v>70000</v>
      </c>
      <c r="U718" s="1697">
        <v>100</v>
      </c>
      <c r="V718" s="1691">
        <v>70000</v>
      </c>
      <c r="W718" s="1561">
        <v>400</v>
      </c>
      <c r="X718" s="1374"/>
      <c r="Y718" s="1560" t="s">
        <v>1152</v>
      </c>
    </row>
    <row r="719" spans="2:25" s="210" customFormat="1" ht="114.75" x14ac:dyDescent="0.25">
      <c r="B719" s="2079"/>
      <c r="C719" s="1371"/>
      <c r="D719" s="1371"/>
      <c r="E719" s="1371"/>
      <c r="F719" s="1371"/>
      <c r="G719" s="1047" t="s">
        <v>914</v>
      </c>
      <c r="H719" s="1047" t="s">
        <v>915</v>
      </c>
      <c r="I719" s="1049" t="s">
        <v>100</v>
      </c>
      <c r="J719" s="1697">
        <v>0</v>
      </c>
      <c r="K719" s="1697">
        <v>0</v>
      </c>
      <c r="L719" s="1691">
        <v>0</v>
      </c>
      <c r="M719" s="1697">
        <v>100</v>
      </c>
      <c r="N719" s="1691">
        <v>40000</v>
      </c>
      <c r="O719" s="1697">
        <v>100</v>
      </c>
      <c r="P719" s="1691">
        <v>50000</v>
      </c>
      <c r="Q719" s="1697">
        <v>100</v>
      </c>
      <c r="R719" s="1691">
        <v>60000</v>
      </c>
      <c r="S719" s="1697">
        <v>100</v>
      </c>
      <c r="T719" s="1691">
        <v>70000</v>
      </c>
      <c r="U719" s="1697">
        <v>100</v>
      </c>
      <c r="V719" s="1691">
        <v>70000</v>
      </c>
      <c r="W719" s="1561">
        <v>400</v>
      </c>
      <c r="X719" s="1374"/>
      <c r="Y719" s="1560" t="s">
        <v>1152</v>
      </c>
    </row>
    <row r="720" spans="2:25" s="210" customFormat="1" x14ac:dyDescent="0.25">
      <c r="B720" s="1749"/>
      <c r="C720" s="1371"/>
      <c r="D720" s="1371"/>
      <c r="E720" s="1371"/>
      <c r="F720" s="1370"/>
      <c r="G720" s="1047"/>
      <c r="H720" s="1047"/>
      <c r="I720" s="1049"/>
      <c r="J720" s="1697"/>
      <c r="K720" s="1697"/>
      <c r="L720" s="1691"/>
      <c r="M720" s="1697"/>
      <c r="N720" s="1691"/>
      <c r="O720" s="1697"/>
      <c r="P720" s="1691"/>
      <c r="Q720" s="1697"/>
      <c r="R720" s="1691"/>
      <c r="S720" s="1697"/>
      <c r="T720" s="1691"/>
      <c r="U720" s="1697"/>
      <c r="V720" s="1691"/>
      <c r="W720" s="1561"/>
      <c r="X720" s="1374"/>
      <c r="Y720" s="1560"/>
    </row>
    <row r="721" spans="2:25" s="210" customFormat="1" ht="51" customHeight="1" x14ac:dyDescent="0.25">
      <c r="B721" s="2079" t="s">
        <v>33</v>
      </c>
      <c r="C721" s="2042" t="s">
        <v>34</v>
      </c>
      <c r="D721" s="2042" t="s">
        <v>3831</v>
      </c>
      <c r="E721" s="2042" t="s">
        <v>3832</v>
      </c>
      <c r="F721" s="2042" t="s">
        <v>3913</v>
      </c>
      <c r="G721" s="173" t="s">
        <v>3133</v>
      </c>
      <c r="H721" s="1047"/>
      <c r="I721" s="1672" t="s">
        <v>19</v>
      </c>
      <c r="J721" s="1566">
        <v>90</v>
      </c>
      <c r="K721" s="1566">
        <v>91</v>
      </c>
      <c r="L721" s="1673"/>
      <c r="M721" s="1566">
        <v>92</v>
      </c>
      <c r="N721" s="1673"/>
      <c r="O721" s="1566">
        <v>93</v>
      </c>
      <c r="P721" s="1673"/>
      <c r="Q721" s="1566">
        <v>94</v>
      </c>
      <c r="R721" s="1673"/>
      <c r="S721" s="1566">
        <v>95</v>
      </c>
      <c r="T721" s="1673"/>
      <c r="U721" s="1566">
        <v>96</v>
      </c>
      <c r="V721" s="1673"/>
      <c r="W721" s="1566">
        <v>97</v>
      </c>
      <c r="X721" s="1696"/>
      <c r="Y721" s="1560" t="s">
        <v>1152</v>
      </c>
    </row>
    <row r="722" spans="2:25" s="210" customFormat="1" ht="63.75" x14ac:dyDescent="0.25">
      <c r="B722" s="2079"/>
      <c r="C722" s="2043"/>
      <c r="D722" s="2043"/>
      <c r="E722" s="2043"/>
      <c r="F722" s="2043"/>
      <c r="G722" s="1047" t="s">
        <v>121</v>
      </c>
      <c r="H722" s="1047" t="s">
        <v>386</v>
      </c>
      <c r="I722" s="1049" t="s">
        <v>19</v>
      </c>
      <c r="J722" s="1496">
        <v>100</v>
      </c>
      <c r="K722" s="1374">
        <v>20</v>
      </c>
      <c r="L722" s="1675">
        <f>SUM(L723:L735)</f>
        <v>234616</v>
      </c>
      <c r="M722" s="1496">
        <v>20</v>
      </c>
      <c r="N722" s="1675">
        <f>SUM(N723:N735)</f>
        <v>284750</v>
      </c>
      <c r="O722" s="1496">
        <v>15</v>
      </c>
      <c r="P722" s="1675">
        <f>SUM(P723:P735)</f>
        <v>315000</v>
      </c>
      <c r="Q722" s="1496">
        <v>15</v>
      </c>
      <c r="R722" s="1675">
        <f>SUM(R723:R735)</f>
        <v>359750</v>
      </c>
      <c r="S722" s="1496">
        <v>15</v>
      </c>
      <c r="T722" s="1675">
        <f>SUM(T723:T735)</f>
        <v>394750</v>
      </c>
      <c r="U722" s="1496">
        <v>15</v>
      </c>
      <c r="V722" s="1675">
        <f>SUM(V723:V735)</f>
        <v>394750</v>
      </c>
      <c r="W722" s="1561">
        <v>100</v>
      </c>
      <c r="X722" s="1374"/>
      <c r="Y722" s="1560" t="s">
        <v>1152</v>
      </c>
    </row>
    <row r="723" spans="2:25" s="210" customFormat="1" ht="51" x14ac:dyDescent="0.25">
      <c r="B723" s="2079"/>
      <c r="C723" s="1370"/>
      <c r="D723" s="1370"/>
      <c r="E723" s="1370"/>
      <c r="F723" s="1370"/>
      <c r="G723" s="1047" t="s">
        <v>124</v>
      </c>
      <c r="H723" s="1491" t="s">
        <v>916</v>
      </c>
      <c r="I723" s="1049" t="s">
        <v>40</v>
      </c>
      <c r="J723" s="1496"/>
      <c r="K723" s="1374">
        <v>12</v>
      </c>
      <c r="L723" s="1675">
        <v>2500</v>
      </c>
      <c r="M723" s="1374">
        <v>12</v>
      </c>
      <c r="N723" s="1372">
        <v>3000</v>
      </c>
      <c r="O723" s="1374">
        <v>12</v>
      </c>
      <c r="P723" s="1372">
        <v>3500</v>
      </c>
      <c r="Q723" s="1374">
        <v>12</v>
      </c>
      <c r="R723" s="1372">
        <v>4000</v>
      </c>
      <c r="S723" s="1374">
        <v>12</v>
      </c>
      <c r="T723" s="1372">
        <v>4500</v>
      </c>
      <c r="U723" s="1374">
        <v>12</v>
      </c>
      <c r="V723" s="1372">
        <v>4500</v>
      </c>
      <c r="W723" s="1373">
        <v>60</v>
      </c>
      <c r="X723" s="1374"/>
      <c r="Y723" s="1560" t="s">
        <v>1152</v>
      </c>
    </row>
    <row r="724" spans="2:25" s="210" customFormat="1" ht="76.5" x14ac:dyDescent="0.25">
      <c r="B724" s="2079"/>
      <c r="C724" s="1370"/>
      <c r="D724" s="1370"/>
      <c r="E724" s="1370"/>
      <c r="F724" s="1370"/>
      <c r="G724" s="1491" t="s">
        <v>917</v>
      </c>
      <c r="H724" s="1491" t="s">
        <v>918</v>
      </c>
      <c r="I724" s="1049" t="s">
        <v>40</v>
      </c>
      <c r="J724" s="1496"/>
      <c r="K724" s="1374">
        <v>12</v>
      </c>
      <c r="L724" s="1675">
        <v>30000</v>
      </c>
      <c r="M724" s="1374">
        <v>12</v>
      </c>
      <c r="N724" s="1372">
        <v>35000</v>
      </c>
      <c r="O724" s="1374">
        <v>12</v>
      </c>
      <c r="P724" s="1372">
        <v>40000</v>
      </c>
      <c r="Q724" s="1374">
        <v>12</v>
      </c>
      <c r="R724" s="1372">
        <v>45000</v>
      </c>
      <c r="S724" s="1374">
        <v>12</v>
      </c>
      <c r="T724" s="1372">
        <v>50000</v>
      </c>
      <c r="U724" s="1374">
        <v>12</v>
      </c>
      <c r="V724" s="1372">
        <v>50000</v>
      </c>
      <c r="W724" s="1373">
        <v>60</v>
      </c>
      <c r="X724" s="1374"/>
      <c r="Y724" s="1560" t="s">
        <v>1152</v>
      </c>
    </row>
    <row r="725" spans="2:25" s="210" customFormat="1" ht="114.75" x14ac:dyDescent="0.25">
      <c r="B725" s="2079"/>
      <c r="C725" s="1370"/>
      <c r="D725" s="1370"/>
      <c r="E725" s="1370"/>
      <c r="F725" s="1370"/>
      <c r="G725" s="1047" t="s">
        <v>919</v>
      </c>
      <c r="H725" s="1491" t="s">
        <v>920</v>
      </c>
      <c r="I725" s="1049" t="s">
        <v>40</v>
      </c>
      <c r="J725" s="1496"/>
      <c r="K725" s="1374">
        <v>12</v>
      </c>
      <c r="L725" s="1675">
        <v>45500</v>
      </c>
      <c r="M725" s="1374">
        <v>12</v>
      </c>
      <c r="N725" s="1372">
        <v>55000</v>
      </c>
      <c r="O725" s="1374">
        <v>12</v>
      </c>
      <c r="P725" s="1372">
        <v>60000</v>
      </c>
      <c r="Q725" s="1374">
        <v>12</v>
      </c>
      <c r="R725" s="1372">
        <v>70000</v>
      </c>
      <c r="S725" s="1374">
        <v>12</v>
      </c>
      <c r="T725" s="1372">
        <v>75000</v>
      </c>
      <c r="U725" s="1374">
        <v>12</v>
      </c>
      <c r="V725" s="1372">
        <v>75000</v>
      </c>
      <c r="W725" s="1373">
        <v>60</v>
      </c>
      <c r="X725" s="1374"/>
      <c r="Y725" s="1560" t="s">
        <v>1152</v>
      </c>
    </row>
    <row r="726" spans="2:25" s="210" customFormat="1" ht="89.25" x14ac:dyDescent="0.25">
      <c r="B726" s="2079"/>
      <c r="C726" s="1370"/>
      <c r="D726" s="1370"/>
      <c r="E726" s="1370"/>
      <c r="F726" s="1370"/>
      <c r="G726" s="1491" t="s">
        <v>504</v>
      </c>
      <c r="H726" s="1491" t="s">
        <v>921</v>
      </c>
      <c r="I726" s="1049" t="s">
        <v>40</v>
      </c>
      <c r="J726" s="1496"/>
      <c r="K726" s="1374">
        <v>12</v>
      </c>
      <c r="L726" s="1675">
        <v>35000</v>
      </c>
      <c r="M726" s="1374">
        <v>12</v>
      </c>
      <c r="N726" s="1372">
        <v>45000</v>
      </c>
      <c r="O726" s="1374">
        <v>12</v>
      </c>
      <c r="P726" s="1372">
        <v>50000</v>
      </c>
      <c r="Q726" s="1374">
        <v>12</v>
      </c>
      <c r="R726" s="1372">
        <v>60000</v>
      </c>
      <c r="S726" s="1374">
        <v>12</v>
      </c>
      <c r="T726" s="1372">
        <v>65000</v>
      </c>
      <c r="U726" s="1374">
        <v>12</v>
      </c>
      <c r="V726" s="1372">
        <v>65000</v>
      </c>
      <c r="W726" s="1373">
        <v>60</v>
      </c>
      <c r="X726" s="1374"/>
      <c r="Y726" s="1560" t="s">
        <v>1152</v>
      </c>
    </row>
    <row r="727" spans="2:25" s="210" customFormat="1" ht="89.25" x14ac:dyDescent="0.25">
      <c r="B727" s="2079"/>
      <c r="C727" s="1370"/>
      <c r="D727" s="1370"/>
      <c r="E727" s="1370"/>
      <c r="F727" s="1370"/>
      <c r="G727" s="1047" t="s">
        <v>47</v>
      </c>
      <c r="H727" s="1491" t="s">
        <v>922</v>
      </c>
      <c r="I727" s="1049" t="s">
        <v>40</v>
      </c>
      <c r="J727" s="1496"/>
      <c r="K727" s="1374">
        <v>12</v>
      </c>
      <c r="L727" s="1675">
        <v>4116</v>
      </c>
      <c r="M727" s="1374">
        <v>12</v>
      </c>
      <c r="N727" s="1372">
        <v>4750</v>
      </c>
      <c r="O727" s="1374">
        <v>12</v>
      </c>
      <c r="P727" s="1372">
        <v>5500</v>
      </c>
      <c r="Q727" s="1374">
        <v>12</v>
      </c>
      <c r="R727" s="1372">
        <v>5750</v>
      </c>
      <c r="S727" s="1374">
        <v>12</v>
      </c>
      <c r="T727" s="1372">
        <v>6250</v>
      </c>
      <c r="U727" s="1374">
        <v>12</v>
      </c>
      <c r="V727" s="1372">
        <v>6250</v>
      </c>
      <c r="W727" s="1373">
        <v>60</v>
      </c>
      <c r="X727" s="1374"/>
      <c r="Y727" s="1560" t="s">
        <v>1152</v>
      </c>
    </row>
    <row r="728" spans="2:25" s="210" customFormat="1" ht="51" x14ac:dyDescent="0.25">
      <c r="B728" s="2079"/>
      <c r="C728" s="1370"/>
      <c r="D728" s="1370"/>
      <c r="E728" s="1370"/>
      <c r="F728" s="1370"/>
      <c r="G728" s="1047" t="s">
        <v>923</v>
      </c>
      <c r="H728" s="1491" t="s">
        <v>924</v>
      </c>
      <c r="I728" s="1049" t="s">
        <v>40</v>
      </c>
      <c r="J728" s="1496"/>
      <c r="K728" s="1374">
        <v>12</v>
      </c>
      <c r="L728" s="1675">
        <v>20000</v>
      </c>
      <c r="M728" s="1374">
        <v>12</v>
      </c>
      <c r="N728" s="1372">
        <v>30000</v>
      </c>
      <c r="O728" s="1374">
        <v>12</v>
      </c>
      <c r="P728" s="1372">
        <v>30000</v>
      </c>
      <c r="Q728" s="1374">
        <v>12</v>
      </c>
      <c r="R728" s="1372">
        <v>35000</v>
      </c>
      <c r="S728" s="1374">
        <v>12</v>
      </c>
      <c r="T728" s="1372">
        <v>40000</v>
      </c>
      <c r="U728" s="1374">
        <v>12</v>
      </c>
      <c r="V728" s="1372">
        <v>40000</v>
      </c>
      <c r="W728" s="1373">
        <v>60</v>
      </c>
      <c r="X728" s="1374"/>
      <c r="Y728" s="1560" t="s">
        <v>1152</v>
      </c>
    </row>
    <row r="729" spans="2:25" s="210" customFormat="1" ht="63.75" x14ac:dyDescent="0.25">
      <c r="B729" s="2079"/>
      <c r="C729" s="1370"/>
      <c r="D729" s="1370"/>
      <c r="E729" s="1370"/>
      <c r="F729" s="1370"/>
      <c r="G729" s="1047" t="s">
        <v>50</v>
      </c>
      <c r="H729" s="1491" t="s">
        <v>925</v>
      </c>
      <c r="I729" s="1049" t="s">
        <v>40</v>
      </c>
      <c r="J729" s="1496"/>
      <c r="K729" s="1374">
        <v>12</v>
      </c>
      <c r="L729" s="1675">
        <v>15000</v>
      </c>
      <c r="M729" s="1374">
        <v>12</v>
      </c>
      <c r="N729" s="1372">
        <v>20000</v>
      </c>
      <c r="O729" s="1374">
        <v>12</v>
      </c>
      <c r="P729" s="1372">
        <v>25000</v>
      </c>
      <c r="Q729" s="1374">
        <v>12</v>
      </c>
      <c r="R729" s="1372">
        <v>30000</v>
      </c>
      <c r="S729" s="1374">
        <v>12</v>
      </c>
      <c r="T729" s="1372">
        <v>35000</v>
      </c>
      <c r="U729" s="1374">
        <v>12</v>
      </c>
      <c r="V729" s="1372">
        <v>35000</v>
      </c>
      <c r="W729" s="1373">
        <v>60</v>
      </c>
      <c r="X729" s="1374"/>
      <c r="Y729" s="1560" t="s">
        <v>1152</v>
      </c>
    </row>
    <row r="730" spans="2:25" s="210" customFormat="1" ht="63.75" x14ac:dyDescent="0.25">
      <c r="B730" s="2079"/>
      <c r="C730" s="1370"/>
      <c r="D730" s="1370"/>
      <c r="E730" s="1370"/>
      <c r="F730" s="1370"/>
      <c r="G730" s="1047" t="s">
        <v>926</v>
      </c>
      <c r="H730" s="1491" t="s">
        <v>927</v>
      </c>
      <c r="I730" s="1049" t="s">
        <v>40</v>
      </c>
      <c r="J730" s="1496"/>
      <c r="K730" s="1374">
        <v>12</v>
      </c>
      <c r="L730" s="1675">
        <v>8500</v>
      </c>
      <c r="M730" s="1374">
        <v>12</v>
      </c>
      <c r="N730" s="1372">
        <v>9000</v>
      </c>
      <c r="O730" s="1374">
        <v>12</v>
      </c>
      <c r="P730" s="1372">
        <v>9500</v>
      </c>
      <c r="Q730" s="1374">
        <v>12</v>
      </c>
      <c r="R730" s="1372">
        <v>10000</v>
      </c>
      <c r="S730" s="1374">
        <v>12</v>
      </c>
      <c r="T730" s="1372">
        <v>10500</v>
      </c>
      <c r="U730" s="1374">
        <v>12</v>
      </c>
      <c r="V730" s="1372">
        <v>10500</v>
      </c>
      <c r="W730" s="1373">
        <v>60</v>
      </c>
      <c r="X730" s="1374"/>
      <c r="Y730" s="1560" t="s">
        <v>1152</v>
      </c>
    </row>
    <row r="731" spans="2:25" s="210" customFormat="1" ht="63.75" x14ac:dyDescent="0.25">
      <c r="B731" s="2079"/>
      <c r="C731" s="1370"/>
      <c r="D731" s="1370"/>
      <c r="E731" s="1370"/>
      <c r="F731" s="1370"/>
      <c r="G731" s="1047" t="s">
        <v>928</v>
      </c>
      <c r="H731" s="1491" t="s">
        <v>929</v>
      </c>
      <c r="I731" s="1049" t="s">
        <v>40</v>
      </c>
      <c r="J731" s="1496"/>
      <c r="K731" s="1374">
        <v>12</v>
      </c>
      <c r="L731" s="1675">
        <v>5000</v>
      </c>
      <c r="M731" s="1374">
        <v>12</v>
      </c>
      <c r="N731" s="1372">
        <v>6000</v>
      </c>
      <c r="O731" s="1374">
        <v>12</v>
      </c>
      <c r="P731" s="1372">
        <v>7000</v>
      </c>
      <c r="Q731" s="1374">
        <v>12</v>
      </c>
      <c r="R731" s="1372">
        <v>8000</v>
      </c>
      <c r="S731" s="1374">
        <v>12</v>
      </c>
      <c r="T731" s="1372">
        <v>9000</v>
      </c>
      <c r="U731" s="1374">
        <v>12</v>
      </c>
      <c r="V731" s="1372">
        <v>9000</v>
      </c>
      <c r="W731" s="1373">
        <v>60</v>
      </c>
      <c r="X731" s="1374"/>
      <c r="Y731" s="1560" t="s">
        <v>1152</v>
      </c>
    </row>
    <row r="732" spans="2:25" s="210" customFormat="1" ht="76.5" x14ac:dyDescent="0.25">
      <c r="B732" s="2079"/>
      <c r="C732" s="1370"/>
      <c r="D732" s="1370"/>
      <c r="E732" s="1370"/>
      <c r="F732" s="1370"/>
      <c r="G732" s="1047" t="s">
        <v>930</v>
      </c>
      <c r="H732" s="1491" t="s">
        <v>931</v>
      </c>
      <c r="I732" s="1049" t="s">
        <v>40</v>
      </c>
      <c r="J732" s="1496"/>
      <c r="K732" s="1374">
        <v>12</v>
      </c>
      <c r="L732" s="1675">
        <v>6500</v>
      </c>
      <c r="M732" s="1374">
        <v>12</v>
      </c>
      <c r="N732" s="1372">
        <v>7500</v>
      </c>
      <c r="O732" s="1374">
        <v>12</v>
      </c>
      <c r="P732" s="1372">
        <v>8000</v>
      </c>
      <c r="Q732" s="1374">
        <v>12</v>
      </c>
      <c r="R732" s="1372">
        <v>8500</v>
      </c>
      <c r="S732" s="1374">
        <v>12</v>
      </c>
      <c r="T732" s="1372">
        <v>9000</v>
      </c>
      <c r="U732" s="1374">
        <v>12</v>
      </c>
      <c r="V732" s="1372">
        <v>9000</v>
      </c>
      <c r="W732" s="1373">
        <v>60</v>
      </c>
      <c r="X732" s="1374"/>
      <c r="Y732" s="1560" t="s">
        <v>1152</v>
      </c>
    </row>
    <row r="733" spans="2:25" s="210" customFormat="1" ht="63.75" x14ac:dyDescent="0.25">
      <c r="B733" s="2079"/>
      <c r="C733" s="1370"/>
      <c r="D733" s="1370"/>
      <c r="E733" s="1370"/>
      <c r="F733" s="1370"/>
      <c r="G733" s="1047" t="s">
        <v>604</v>
      </c>
      <c r="H733" s="1491" t="s">
        <v>932</v>
      </c>
      <c r="I733" s="1049" t="s">
        <v>40</v>
      </c>
      <c r="J733" s="1496"/>
      <c r="K733" s="1374">
        <v>12</v>
      </c>
      <c r="L733" s="1675">
        <v>8500</v>
      </c>
      <c r="M733" s="1374">
        <v>12</v>
      </c>
      <c r="N733" s="1372">
        <v>9500</v>
      </c>
      <c r="O733" s="1374">
        <v>12</v>
      </c>
      <c r="P733" s="1372">
        <v>10500</v>
      </c>
      <c r="Q733" s="1374">
        <v>12</v>
      </c>
      <c r="R733" s="1372">
        <v>11500</v>
      </c>
      <c r="S733" s="1374">
        <v>12</v>
      </c>
      <c r="T733" s="1372">
        <v>12500</v>
      </c>
      <c r="U733" s="1374">
        <v>12</v>
      </c>
      <c r="V733" s="1372">
        <v>12500</v>
      </c>
      <c r="W733" s="1373">
        <v>60</v>
      </c>
      <c r="X733" s="1374"/>
      <c r="Y733" s="1560" t="s">
        <v>1152</v>
      </c>
    </row>
    <row r="734" spans="2:25" s="210" customFormat="1" ht="63.75" x14ac:dyDescent="0.25">
      <c r="B734" s="2079"/>
      <c r="C734" s="1370"/>
      <c r="D734" s="1370"/>
      <c r="E734" s="1370"/>
      <c r="F734" s="1370"/>
      <c r="G734" s="1047" t="s">
        <v>398</v>
      </c>
      <c r="H734" s="1491" t="s">
        <v>933</v>
      </c>
      <c r="I734" s="1049" t="s">
        <v>40</v>
      </c>
      <c r="J734" s="1496"/>
      <c r="K734" s="1374">
        <v>12</v>
      </c>
      <c r="L734" s="1675">
        <v>45000</v>
      </c>
      <c r="M734" s="1374">
        <v>12</v>
      </c>
      <c r="N734" s="1372">
        <v>50000</v>
      </c>
      <c r="O734" s="1374">
        <v>12</v>
      </c>
      <c r="P734" s="1372">
        <v>55000</v>
      </c>
      <c r="Q734" s="1374">
        <v>12</v>
      </c>
      <c r="R734" s="1372">
        <v>60000</v>
      </c>
      <c r="S734" s="1374">
        <v>12</v>
      </c>
      <c r="T734" s="1372">
        <v>65000</v>
      </c>
      <c r="U734" s="1374">
        <v>12</v>
      </c>
      <c r="V734" s="1372">
        <v>65000</v>
      </c>
      <c r="W734" s="1373">
        <v>60</v>
      </c>
      <c r="X734" s="1374"/>
      <c r="Y734" s="1560" t="s">
        <v>1152</v>
      </c>
    </row>
    <row r="735" spans="2:25" s="210" customFormat="1" ht="63.75" x14ac:dyDescent="0.25">
      <c r="B735" s="2079"/>
      <c r="C735" s="1370"/>
      <c r="D735" s="1370"/>
      <c r="E735" s="1370"/>
      <c r="F735" s="1370"/>
      <c r="G735" s="1047" t="s">
        <v>399</v>
      </c>
      <c r="H735" s="1491" t="s">
        <v>934</v>
      </c>
      <c r="I735" s="1049" t="s">
        <v>40</v>
      </c>
      <c r="J735" s="1496"/>
      <c r="K735" s="1374">
        <v>12</v>
      </c>
      <c r="L735" s="1675">
        <v>9000</v>
      </c>
      <c r="M735" s="1374">
        <v>12</v>
      </c>
      <c r="N735" s="1372">
        <v>10000</v>
      </c>
      <c r="O735" s="1374">
        <v>12</v>
      </c>
      <c r="P735" s="1372">
        <v>11000</v>
      </c>
      <c r="Q735" s="1374">
        <v>12</v>
      </c>
      <c r="R735" s="1372">
        <v>12000</v>
      </c>
      <c r="S735" s="1374">
        <v>12</v>
      </c>
      <c r="T735" s="1372">
        <v>13000</v>
      </c>
      <c r="U735" s="1374">
        <v>12</v>
      </c>
      <c r="V735" s="1372">
        <v>13000</v>
      </c>
      <c r="W735" s="1373">
        <v>60</v>
      </c>
      <c r="X735" s="1374"/>
      <c r="Y735" s="1560" t="s">
        <v>1152</v>
      </c>
    </row>
    <row r="736" spans="2:25" s="210" customFormat="1" ht="51" x14ac:dyDescent="0.25">
      <c r="B736" s="2079"/>
      <c r="C736" s="1370"/>
      <c r="D736" s="1370"/>
      <c r="E736" s="1370"/>
      <c r="F736" s="1370"/>
      <c r="G736" s="1047" t="s">
        <v>935</v>
      </c>
      <c r="H736" s="1491" t="s">
        <v>936</v>
      </c>
      <c r="I736" s="1049" t="s">
        <v>19</v>
      </c>
      <c r="J736" s="1496">
        <v>100</v>
      </c>
      <c r="K736" s="1496">
        <v>20</v>
      </c>
      <c r="L736" s="1372">
        <f>SUM(L737:L754)</f>
        <v>125900</v>
      </c>
      <c r="M736" s="1496">
        <v>20</v>
      </c>
      <c r="N736" s="1372">
        <f>SUM(N737:N754)</f>
        <v>149000</v>
      </c>
      <c r="O736" s="1496">
        <v>15</v>
      </c>
      <c r="P736" s="1372">
        <f>SUM(P737:P754)</f>
        <v>50000</v>
      </c>
      <c r="Q736" s="1496">
        <v>15</v>
      </c>
      <c r="R736" s="1372">
        <f>SUM(R737:R754)</f>
        <v>285000</v>
      </c>
      <c r="S736" s="1496">
        <v>15</v>
      </c>
      <c r="T736" s="1372">
        <f>SUM(T737:T754)</f>
        <v>305000</v>
      </c>
      <c r="U736" s="1496">
        <v>15</v>
      </c>
      <c r="V736" s="1372">
        <f>SUM(V737:V754)</f>
        <v>305000</v>
      </c>
      <c r="W736" s="1373">
        <v>100</v>
      </c>
      <c r="X736" s="1374"/>
      <c r="Y736" s="1560" t="s">
        <v>1152</v>
      </c>
    </row>
    <row r="737" spans="2:25" s="210" customFormat="1" ht="51" x14ac:dyDescent="0.25">
      <c r="B737" s="2079"/>
      <c r="C737" s="1370"/>
      <c r="D737" s="1370"/>
      <c r="E737" s="1370"/>
      <c r="F737" s="1370"/>
      <c r="G737" s="1491" t="s">
        <v>937</v>
      </c>
      <c r="H737" s="1491" t="s">
        <v>938</v>
      </c>
      <c r="I737" s="1049" t="s">
        <v>75</v>
      </c>
      <c r="J737" s="1496"/>
      <c r="K737" s="1566"/>
      <c r="L737" s="1673">
        <v>0</v>
      </c>
      <c r="M737" s="1698" t="s">
        <v>313</v>
      </c>
      <c r="N737" s="1699">
        <v>0</v>
      </c>
      <c r="O737" s="1698" t="s">
        <v>313</v>
      </c>
      <c r="P737" s="1699">
        <v>0</v>
      </c>
      <c r="Q737" s="1496">
        <v>8</v>
      </c>
      <c r="R737" s="1699">
        <v>100000</v>
      </c>
      <c r="S737" s="1698" t="s">
        <v>313</v>
      </c>
      <c r="T737" s="1699">
        <v>0</v>
      </c>
      <c r="U737" s="1698" t="s">
        <v>313</v>
      </c>
      <c r="V737" s="1699">
        <v>0</v>
      </c>
      <c r="W737" s="1373"/>
      <c r="X737" s="1374"/>
      <c r="Y737" s="1560" t="s">
        <v>1152</v>
      </c>
    </row>
    <row r="738" spans="2:25" s="210" customFormat="1" ht="51" x14ac:dyDescent="0.25">
      <c r="B738" s="2079"/>
      <c r="C738" s="1370"/>
      <c r="D738" s="1370"/>
      <c r="E738" s="1370"/>
      <c r="F738" s="1370"/>
      <c r="G738" s="2080" t="s">
        <v>939</v>
      </c>
      <c r="H738" s="1491" t="s">
        <v>938</v>
      </c>
      <c r="I738" s="1049"/>
      <c r="J738" s="1496"/>
      <c r="K738" s="1496"/>
      <c r="L738" s="1516">
        <v>37700</v>
      </c>
      <c r="M738" s="1374"/>
      <c r="N738" s="1700">
        <v>30000</v>
      </c>
      <c r="O738" s="1701"/>
      <c r="P738" s="1700">
        <v>0</v>
      </c>
      <c r="Q738" s="1374"/>
      <c r="R738" s="1516">
        <v>150000</v>
      </c>
      <c r="S738" s="1374"/>
      <c r="T738" s="1516">
        <v>0</v>
      </c>
      <c r="U738" s="1374"/>
      <c r="V738" s="1516">
        <v>0</v>
      </c>
      <c r="W738" s="1373"/>
      <c r="X738" s="1688"/>
      <c r="Y738" s="1560" t="s">
        <v>1152</v>
      </c>
    </row>
    <row r="739" spans="2:25" s="210" customFormat="1" x14ac:dyDescent="0.25">
      <c r="B739" s="2079"/>
      <c r="C739" s="1370"/>
      <c r="D739" s="1370"/>
      <c r="E739" s="1370"/>
      <c r="F739" s="1370"/>
      <c r="G739" s="2080"/>
      <c r="H739" s="1491" t="s">
        <v>940</v>
      </c>
      <c r="I739" s="1049"/>
      <c r="J739" s="1496"/>
      <c r="K739" s="1496">
        <v>1</v>
      </c>
      <c r="L739" s="1702">
        <v>0</v>
      </c>
      <c r="M739" s="1496">
        <v>2</v>
      </c>
      <c r="N739" s="1703">
        <v>0</v>
      </c>
      <c r="O739" s="1698">
        <v>0</v>
      </c>
      <c r="P739" s="1703">
        <v>0</v>
      </c>
      <c r="Q739" s="1496">
        <v>2</v>
      </c>
      <c r="R739" s="1702">
        <v>0</v>
      </c>
      <c r="S739" s="1496">
        <v>0</v>
      </c>
      <c r="T739" s="1702">
        <v>0</v>
      </c>
      <c r="U739" s="1496">
        <v>0</v>
      </c>
      <c r="V739" s="1702">
        <v>0</v>
      </c>
      <c r="W739" s="1373"/>
      <c r="X739" s="1704"/>
      <c r="Y739" s="1560" t="s">
        <v>1152</v>
      </c>
    </row>
    <row r="740" spans="2:25" s="210" customFormat="1" x14ac:dyDescent="0.25">
      <c r="B740" s="2079"/>
      <c r="C740" s="1370"/>
      <c r="D740" s="1370"/>
      <c r="E740" s="1370"/>
      <c r="F740" s="1370"/>
      <c r="G740" s="2080"/>
      <c r="H740" s="1491" t="s">
        <v>941</v>
      </c>
      <c r="I740" s="1049"/>
      <c r="J740" s="1496"/>
      <c r="K740" s="1496">
        <v>3</v>
      </c>
      <c r="L740" s="1702">
        <v>0</v>
      </c>
      <c r="M740" s="1496">
        <v>1</v>
      </c>
      <c r="N740" s="1703">
        <v>0</v>
      </c>
      <c r="O740" s="1698">
        <v>0</v>
      </c>
      <c r="P740" s="1703">
        <v>0</v>
      </c>
      <c r="Q740" s="1496">
        <v>3</v>
      </c>
      <c r="R740" s="1702">
        <v>0</v>
      </c>
      <c r="S740" s="1496">
        <v>0</v>
      </c>
      <c r="T740" s="1702">
        <v>0</v>
      </c>
      <c r="U740" s="1496">
        <v>0</v>
      </c>
      <c r="V740" s="1702">
        <v>0</v>
      </c>
      <c r="W740" s="1373"/>
      <c r="X740" s="1704"/>
      <c r="Y740" s="1560" t="s">
        <v>1152</v>
      </c>
    </row>
    <row r="741" spans="2:25" s="210" customFormat="1" x14ac:dyDescent="0.25">
      <c r="B741" s="2079"/>
      <c r="C741" s="1370"/>
      <c r="D741" s="1370"/>
      <c r="E741" s="1370"/>
      <c r="F741" s="1370"/>
      <c r="G741" s="2080"/>
      <c r="H741" s="1491" t="s">
        <v>942</v>
      </c>
      <c r="I741" s="1049"/>
      <c r="J741" s="1496"/>
      <c r="K741" s="1496">
        <v>0</v>
      </c>
      <c r="L741" s="1702">
        <v>0</v>
      </c>
      <c r="M741" s="1496">
        <v>2</v>
      </c>
      <c r="N741" s="1703">
        <v>0</v>
      </c>
      <c r="O741" s="1698">
        <v>0</v>
      </c>
      <c r="P741" s="1703">
        <v>0</v>
      </c>
      <c r="Q741" s="1496">
        <v>4</v>
      </c>
      <c r="R741" s="1702">
        <v>0</v>
      </c>
      <c r="S741" s="1496">
        <v>0</v>
      </c>
      <c r="T741" s="1702">
        <v>0</v>
      </c>
      <c r="U741" s="1496">
        <v>0</v>
      </c>
      <c r="V741" s="1702">
        <v>0</v>
      </c>
      <c r="W741" s="1373"/>
      <c r="X741" s="1704"/>
      <c r="Y741" s="1560" t="s">
        <v>1152</v>
      </c>
    </row>
    <row r="742" spans="2:25" s="210" customFormat="1" x14ac:dyDescent="0.25">
      <c r="B742" s="2079"/>
      <c r="C742" s="1370"/>
      <c r="D742" s="1370"/>
      <c r="E742" s="1370"/>
      <c r="F742" s="1370"/>
      <c r="G742" s="2080"/>
      <c r="H742" s="1491" t="s">
        <v>943</v>
      </c>
      <c r="I742" s="1049"/>
      <c r="J742" s="1496"/>
      <c r="K742" s="1496">
        <v>0</v>
      </c>
      <c r="L742" s="1702">
        <v>0</v>
      </c>
      <c r="M742" s="1496">
        <v>1</v>
      </c>
      <c r="N742" s="1703">
        <v>0</v>
      </c>
      <c r="O742" s="1698">
        <v>0</v>
      </c>
      <c r="P742" s="1703">
        <v>0</v>
      </c>
      <c r="Q742" s="1496">
        <v>1</v>
      </c>
      <c r="R742" s="1702">
        <v>0</v>
      </c>
      <c r="S742" s="1496">
        <v>0</v>
      </c>
      <c r="T742" s="1702">
        <v>0</v>
      </c>
      <c r="U742" s="1496">
        <v>0</v>
      </c>
      <c r="V742" s="1702">
        <v>0</v>
      </c>
      <c r="W742" s="1373"/>
      <c r="X742" s="1704"/>
      <c r="Y742" s="1560" t="s">
        <v>1152</v>
      </c>
    </row>
    <row r="743" spans="2:25" s="210" customFormat="1" x14ac:dyDescent="0.25">
      <c r="B743" s="2079"/>
      <c r="C743" s="1370"/>
      <c r="D743" s="1370"/>
      <c r="E743" s="1370"/>
      <c r="F743" s="1370"/>
      <c r="G743" s="2080"/>
      <c r="H743" s="1491" t="s">
        <v>944</v>
      </c>
      <c r="I743" s="1049"/>
      <c r="J743" s="1496"/>
      <c r="K743" s="1496">
        <v>0</v>
      </c>
      <c r="L743" s="1702">
        <v>0</v>
      </c>
      <c r="M743" s="1496">
        <v>0</v>
      </c>
      <c r="N743" s="1703">
        <v>0</v>
      </c>
      <c r="O743" s="1698">
        <v>0</v>
      </c>
      <c r="P743" s="1703">
        <v>0</v>
      </c>
      <c r="Q743" s="1496">
        <v>1</v>
      </c>
      <c r="R743" s="1702">
        <v>0</v>
      </c>
      <c r="S743" s="1496">
        <v>0</v>
      </c>
      <c r="T743" s="1702">
        <v>0</v>
      </c>
      <c r="U743" s="1496">
        <v>0</v>
      </c>
      <c r="V743" s="1702">
        <v>0</v>
      </c>
      <c r="W743" s="1373"/>
      <c r="X743" s="1704"/>
      <c r="Y743" s="1560" t="s">
        <v>1152</v>
      </c>
    </row>
    <row r="744" spans="2:25" s="210" customFormat="1" x14ac:dyDescent="0.25">
      <c r="B744" s="2079"/>
      <c r="C744" s="1370"/>
      <c r="D744" s="1370"/>
      <c r="E744" s="1370"/>
      <c r="F744" s="1370"/>
      <c r="G744" s="2080"/>
      <c r="H744" s="1491" t="s">
        <v>945</v>
      </c>
      <c r="I744" s="1049"/>
      <c r="J744" s="1496"/>
      <c r="K744" s="1496">
        <v>0</v>
      </c>
      <c r="L744" s="1702">
        <v>0</v>
      </c>
      <c r="M744" s="1496">
        <v>0</v>
      </c>
      <c r="N744" s="1703">
        <v>0</v>
      </c>
      <c r="O744" s="1698">
        <v>0</v>
      </c>
      <c r="P744" s="1703">
        <v>0</v>
      </c>
      <c r="Q744" s="1496">
        <v>0</v>
      </c>
      <c r="R744" s="1702">
        <v>0</v>
      </c>
      <c r="S744" s="1496">
        <v>0</v>
      </c>
      <c r="T744" s="1702">
        <v>0</v>
      </c>
      <c r="U744" s="1496">
        <v>0</v>
      </c>
      <c r="V744" s="1702">
        <v>0</v>
      </c>
      <c r="W744" s="1373"/>
      <c r="X744" s="1704"/>
      <c r="Y744" s="1560" t="s">
        <v>1152</v>
      </c>
    </row>
    <row r="745" spans="2:25" s="210" customFormat="1" x14ac:dyDescent="0.25">
      <c r="B745" s="2079"/>
      <c r="C745" s="1370"/>
      <c r="D745" s="1370"/>
      <c r="E745" s="1370"/>
      <c r="F745" s="1370"/>
      <c r="G745" s="2080"/>
      <c r="H745" s="1491" t="s">
        <v>946</v>
      </c>
      <c r="I745" s="1049"/>
      <c r="J745" s="1496"/>
      <c r="K745" s="1496">
        <v>1</v>
      </c>
      <c r="L745" s="1702">
        <v>0</v>
      </c>
      <c r="M745" s="1496">
        <v>0</v>
      </c>
      <c r="N745" s="1703">
        <v>0</v>
      </c>
      <c r="O745" s="1698">
        <v>0</v>
      </c>
      <c r="P745" s="1703">
        <v>0</v>
      </c>
      <c r="Q745" s="1496">
        <v>0</v>
      </c>
      <c r="R745" s="1702">
        <v>0</v>
      </c>
      <c r="S745" s="1496">
        <v>0</v>
      </c>
      <c r="T745" s="1702">
        <v>0</v>
      </c>
      <c r="U745" s="1496">
        <v>0</v>
      </c>
      <c r="V745" s="1702">
        <v>0</v>
      </c>
      <c r="W745" s="1373"/>
      <c r="X745" s="1704"/>
      <c r="Y745" s="1560" t="s">
        <v>1152</v>
      </c>
    </row>
    <row r="746" spans="2:25" s="210" customFormat="1" x14ac:dyDescent="0.25">
      <c r="B746" s="2079"/>
      <c r="C746" s="1370"/>
      <c r="D746" s="1370"/>
      <c r="E746" s="1370"/>
      <c r="F746" s="1370"/>
      <c r="G746" s="2080"/>
      <c r="H746" s="1491" t="s">
        <v>947</v>
      </c>
      <c r="I746" s="1049"/>
      <c r="J746" s="1496"/>
      <c r="K746" s="1496">
        <v>1</v>
      </c>
      <c r="L746" s="1702">
        <v>0</v>
      </c>
      <c r="M746" s="1496">
        <v>0</v>
      </c>
      <c r="N746" s="1703">
        <v>0</v>
      </c>
      <c r="O746" s="1698">
        <v>0</v>
      </c>
      <c r="P746" s="1703">
        <v>0</v>
      </c>
      <c r="Q746" s="1496">
        <v>0</v>
      </c>
      <c r="R746" s="1702">
        <v>0</v>
      </c>
      <c r="S746" s="1496">
        <v>0</v>
      </c>
      <c r="T746" s="1702">
        <v>0</v>
      </c>
      <c r="U746" s="1496">
        <v>0</v>
      </c>
      <c r="V746" s="1702">
        <v>0</v>
      </c>
      <c r="W746" s="1373"/>
      <c r="X746" s="1704"/>
      <c r="Y746" s="1560" t="s">
        <v>1152</v>
      </c>
    </row>
    <row r="747" spans="2:25" s="210" customFormat="1" x14ac:dyDescent="0.25">
      <c r="B747" s="2079"/>
      <c r="C747" s="1370"/>
      <c r="D747" s="1370"/>
      <c r="E747" s="1370"/>
      <c r="F747" s="1370"/>
      <c r="G747" s="2080"/>
      <c r="H747" s="1491" t="s">
        <v>948</v>
      </c>
      <c r="I747" s="1049"/>
      <c r="J747" s="1496"/>
      <c r="K747" s="1496">
        <v>1</v>
      </c>
      <c r="L747" s="1702">
        <v>0</v>
      </c>
      <c r="M747" s="1496">
        <v>0</v>
      </c>
      <c r="N747" s="1703">
        <v>0</v>
      </c>
      <c r="O747" s="1698">
        <v>0</v>
      </c>
      <c r="P747" s="1703">
        <v>0</v>
      </c>
      <c r="Q747" s="1496">
        <v>0</v>
      </c>
      <c r="R747" s="1702">
        <v>0</v>
      </c>
      <c r="S747" s="1496">
        <v>0</v>
      </c>
      <c r="T747" s="1702">
        <v>0</v>
      </c>
      <c r="U747" s="1496">
        <v>0</v>
      </c>
      <c r="V747" s="1702">
        <v>0</v>
      </c>
      <c r="W747" s="1373"/>
      <c r="X747" s="1704"/>
      <c r="Y747" s="1560" t="s">
        <v>1152</v>
      </c>
    </row>
    <row r="748" spans="2:25" s="210" customFormat="1" x14ac:dyDescent="0.25">
      <c r="B748" s="2079"/>
      <c r="C748" s="1370"/>
      <c r="D748" s="1370"/>
      <c r="E748" s="1370"/>
      <c r="F748" s="1370"/>
      <c r="G748" s="2080"/>
      <c r="H748" s="1491" t="s">
        <v>949</v>
      </c>
      <c r="I748" s="1049"/>
      <c r="J748" s="1496"/>
      <c r="K748" s="1496">
        <v>0</v>
      </c>
      <c r="L748" s="1705">
        <v>0</v>
      </c>
      <c r="M748" s="1496">
        <v>1</v>
      </c>
      <c r="N748" s="1706">
        <v>0</v>
      </c>
      <c r="O748" s="1698">
        <v>0</v>
      </c>
      <c r="P748" s="1706">
        <v>0</v>
      </c>
      <c r="Q748" s="1496">
        <v>0</v>
      </c>
      <c r="R748" s="1705">
        <v>0</v>
      </c>
      <c r="S748" s="1496">
        <v>0</v>
      </c>
      <c r="T748" s="1705">
        <v>0</v>
      </c>
      <c r="U748" s="1496">
        <v>0</v>
      </c>
      <c r="V748" s="1705">
        <v>0</v>
      </c>
      <c r="W748" s="1373"/>
      <c r="X748" s="1690"/>
      <c r="Y748" s="1560" t="s">
        <v>1152</v>
      </c>
    </row>
    <row r="749" spans="2:25" s="210" customFormat="1" ht="51" x14ac:dyDescent="0.25">
      <c r="B749" s="2079"/>
      <c r="C749" s="1370"/>
      <c r="D749" s="1370"/>
      <c r="E749" s="1370"/>
      <c r="F749" s="1370"/>
      <c r="G749" s="1491" t="s">
        <v>950</v>
      </c>
      <c r="H749" s="1491" t="s">
        <v>951</v>
      </c>
      <c r="I749" s="1049" t="s">
        <v>75</v>
      </c>
      <c r="J749" s="1698"/>
      <c r="K749" s="1701">
        <v>0</v>
      </c>
      <c r="L749" s="1699">
        <v>0</v>
      </c>
      <c r="M749" s="1496">
        <v>6</v>
      </c>
      <c r="N749" s="1372">
        <v>60000</v>
      </c>
      <c r="O749" s="1496">
        <v>4</v>
      </c>
      <c r="P749" s="1372">
        <v>30000</v>
      </c>
      <c r="Q749" s="1699">
        <v>0</v>
      </c>
      <c r="R749" s="1699">
        <v>0</v>
      </c>
      <c r="S749" s="1699">
        <v>0</v>
      </c>
      <c r="T749" s="1699">
        <v>0</v>
      </c>
      <c r="U749" s="1699">
        <v>0</v>
      </c>
      <c r="V749" s="1699">
        <v>0</v>
      </c>
      <c r="W749" s="1373"/>
      <c r="X749" s="1374"/>
      <c r="Y749" s="1560" t="s">
        <v>1152</v>
      </c>
    </row>
    <row r="750" spans="2:25" s="210" customFormat="1" ht="25.5" x14ac:dyDescent="0.25">
      <c r="B750" s="2079"/>
      <c r="C750" s="1370"/>
      <c r="D750" s="1370"/>
      <c r="E750" s="1370"/>
      <c r="F750" s="1370"/>
      <c r="G750" s="1491" t="s">
        <v>952</v>
      </c>
      <c r="H750" s="1491" t="s">
        <v>953</v>
      </c>
      <c r="I750" s="1049" t="s">
        <v>40</v>
      </c>
      <c r="J750" s="1496"/>
      <c r="K750" s="1496">
        <v>12</v>
      </c>
      <c r="L750" s="1372">
        <v>13000</v>
      </c>
      <c r="M750" s="1496">
        <v>12</v>
      </c>
      <c r="N750" s="1372">
        <v>20000</v>
      </c>
      <c r="O750" s="1496">
        <v>12</v>
      </c>
      <c r="P750" s="1372">
        <v>20000</v>
      </c>
      <c r="Q750" s="1496">
        <v>12</v>
      </c>
      <c r="R750" s="1372">
        <v>25000</v>
      </c>
      <c r="S750" s="1496">
        <v>12</v>
      </c>
      <c r="T750" s="1372">
        <v>300000</v>
      </c>
      <c r="U750" s="1496">
        <v>12</v>
      </c>
      <c r="V750" s="1372">
        <v>300000</v>
      </c>
      <c r="W750" s="1373"/>
      <c r="X750" s="1374"/>
      <c r="Y750" s="1560" t="s">
        <v>1152</v>
      </c>
    </row>
    <row r="751" spans="2:25" s="210" customFormat="1" ht="38.25" x14ac:dyDescent="0.25">
      <c r="B751" s="2079"/>
      <c r="C751" s="1370"/>
      <c r="D751" s="1370"/>
      <c r="E751" s="1370"/>
      <c r="F751" s="1370"/>
      <c r="G751" s="2080" t="s">
        <v>954</v>
      </c>
      <c r="H751" s="1491" t="s">
        <v>955</v>
      </c>
      <c r="I751" s="1049" t="s">
        <v>322</v>
      </c>
      <c r="J751" s="1496"/>
      <c r="K751" s="1496">
        <v>9</v>
      </c>
      <c r="L751" s="1692">
        <v>4600</v>
      </c>
      <c r="M751" s="1496">
        <v>15</v>
      </c>
      <c r="N751" s="1692">
        <v>9000</v>
      </c>
      <c r="O751" s="1698">
        <v>0</v>
      </c>
      <c r="P751" s="1707">
        <v>0</v>
      </c>
      <c r="Q751" s="1496">
        <v>15</v>
      </c>
      <c r="R751" s="1692">
        <v>10000</v>
      </c>
      <c r="S751" s="1496">
        <v>1</v>
      </c>
      <c r="T751" s="1707">
        <v>5000</v>
      </c>
      <c r="U751" s="1496">
        <v>1</v>
      </c>
      <c r="V751" s="1707">
        <v>5000</v>
      </c>
      <c r="W751" s="1373"/>
      <c r="X751" s="1688"/>
      <c r="Y751" s="1560" t="s">
        <v>1152</v>
      </c>
    </row>
    <row r="752" spans="2:25" s="210" customFormat="1" ht="25.5" x14ac:dyDescent="0.25">
      <c r="B752" s="2079"/>
      <c r="C752" s="1370"/>
      <c r="D752" s="1370"/>
      <c r="E752" s="1370"/>
      <c r="F752" s="1370"/>
      <c r="G752" s="2080"/>
      <c r="H752" s="1491" t="s">
        <v>956</v>
      </c>
      <c r="I752" s="1049"/>
      <c r="J752" s="1496"/>
      <c r="K752" s="1496"/>
      <c r="L752" s="1693">
        <v>0</v>
      </c>
      <c r="M752" s="1496">
        <v>10</v>
      </c>
      <c r="N752" s="1693">
        <v>0</v>
      </c>
      <c r="O752" s="1698"/>
      <c r="P752" s="1708">
        <v>0</v>
      </c>
      <c r="Q752" s="1496">
        <v>5</v>
      </c>
      <c r="R752" s="1693">
        <v>0</v>
      </c>
      <c r="S752" s="1496"/>
      <c r="T752" s="1708">
        <v>0</v>
      </c>
      <c r="U752" s="1496"/>
      <c r="V752" s="1708">
        <v>0</v>
      </c>
      <c r="W752" s="1373"/>
      <c r="X752" s="1690"/>
      <c r="Y752" s="1560" t="s">
        <v>1152</v>
      </c>
    </row>
    <row r="753" spans="2:25" s="210" customFormat="1" ht="25.5" x14ac:dyDescent="0.25">
      <c r="B753" s="2079"/>
      <c r="C753" s="1370"/>
      <c r="D753" s="1370"/>
      <c r="E753" s="1370"/>
      <c r="F753" s="1370"/>
      <c r="G753" s="2080" t="s">
        <v>957</v>
      </c>
      <c r="H753" s="1491" t="s">
        <v>958</v>
      </c>
      <c r="I753" s="1049" t="s">
        <v>75</v>
      </c>
      <c r="J753" s="1496"/>
      <c r="K753" s="1496">
        <v>4</v>
      </c>
      <c r="L753" s="1675">
        <v>35300</v>
      </c>
      <c r="M753" s="1496">
        <v>0</v>
      </c>
      <c r="N753" s="1372">
        <v>15000</v>
      </c>
      <c r="O753" s="1698">
        <v>0</v>
      </c>
      <c r="P753" s="1699">
        <v>0</v>
      </c>
      <c r="Q753" s="1496">
        <v>0</v>
      </c>
      <c r="R753" s="1372">
        <v>0</v>
      </c>
      <c r="S753" s="1698">
        <v>0</v>
      </c>
      <c r="T753" s="1699">
        <v>0</v>
      </c>
      <c r="U753" s="1698">
        <v>0</v>
      </c>
      <c r="V753" s="1699">
        <v>0</v>
      </c>
      <c r="W753" s="1373"/>
      <c r="X753" s="1374"/>
      <c r="Y753" s="1560" t="s">
        <v>1152</v>
      </c>
    </row>
    <row r="754" spans="2:25" s="210" customFormat="1" x14ac:dyDescent="0.25">
      <c r="B754" s="2079"/>
      <c r="C754" s="1370"/>
      <c r="D754" s="1370"/>
      <c r="E754" s="1370"/>
      <c r="F754" s="1370"/>
      <c r="G754" s="2080"/>
      <c r="H754" s="1491" t="s">
        <v>959</v>
      </c>
      <c r="I754" s="1049" t="s">
        <v>75</v>
      </c>
      <c r="J754" s="1496"/>
      <c r="K754" s="1496">
        <v>4</v>
      </c>
      <c r="L754" s="1675">
        <v>35300</v>
      </c>
      <c r="M754" s="1496">
        <v>7</v>
      </c>
      <c r="N754" s="1372">
        <v>15000</v>
      </c>
      <c r="O754" s="1698">
        <v>0</v>
      </c>
      <c r="P754" s="1699">
        <v>0</v>
      </c>
      <c r="Q754" s="1496">
        <v>10</v>
      </c>
      <c r="R754" s="1372">
        <v>0</v>
      </c>
      <c r="S754" s="1698">
        <v>0</v>
      </c>
      <c r="T754" s="1699">
        <v>0</v>
      </c>
      <c r="U754" s="1698">
        <v>0</v>
      </c>
      <c r="V754" s="1699">
        <v>0</v>
      </c>
      <c r="W754" s="1373"/>
      <c r="X754" s="1374"/>
      <c r="Y754" s="1560" t="s">
        <v>1152</v>
      </c>
    </row>
    <row r="755" spans="2:25" s="210" customFormat="1" ht="102" x14ac:dyDescent="0.25">
      <c r="B755" s="2079"/>
      <c r="C755" s="1370"/>
      <c r="D755" s="1370"/>
      <c r="E755" s="1370"/>
      <c r="F755" s="1370"/>
      <c r="G755" s="1491" t="s">
        <v>960</v>
      </c>
      <c r="H755" s="1491" t="s">
        <v>3145</v>
      </c>
      <c r="I755" s="1049" t="s">
        <v>79</v>
      </c>
      <c r="J755" s="1496">
        <v>25</v>
      </c>
      <c r="K755" s="1496">
        <v>6</v>
      </c>
      <c r="L755" s="1372">
        <f>SUM(L756)</f>
        <v>25000</v>
      </c>
      <c r="M755" s="1496">
        <v>5</v>
      </c>
      <c r="N755" s="1372">
        <f>SUM(N756)</f>
        <v>30000</v>
      </c>
      <c r="O755" s="1496">
        <v>5</v>
      </c>
      <c r="P755" s="1372">
        <f>SUM(P756)</f>
        <v>35000</v>
      </c>
      <c r="Q755" s="1496">
        <v>5</v>
      </c>
      <c r="R755" s="1372">
        <f>SUM(R756)</f>
        <v>40000</v>
      </c>
      <c r="S755" s="1496">
        <v>5</v>
      </c>
      <c r="T755" s="1372">
        <f>SUM(T756)</f>
        <v>45000</v>
      </c>
      <c r="U755" s="1496">
        <v>5</v>
      </c>
      <c r="V755" s="1372">
        <f>SUM(V756)</f>
        <v>45000</v>
      </c>
      <c r="W755" s="1373">
        <f>U755+S755+Q755+O755+M755+K755</f>
        <v>31</v>
      </c>
      <c r="X755" s="1374"/>
      <c r="Y755" s="1560" t="s">
        <v>1152</v>
      </c>
    </row>
    <row r="756" spans="2:25" s="210" customFormat="1" ht="51" x14ac:dyDescent="0.25">
      <c r="B756" s="2079"/>
      <c r="C756" s="1370"/>
      <c r="D756" s="1370"/>
      <c r="E756" s="1370"/>
      <c r="F756" s="1370"/>
      <c r="G756" s="1491" t="s">
        <v>961</v>
      </c>
      <c r="H756" s="1491" t="s">
        <v>962</v>
      </c>
      <c r="I756" s="1049" t="s">
        <v>79</v>
      </c>
      <c r="J756" s="1496"/>
      <c r="K756" s="1496"/>
      <c r="L756" s="1372">
        <v>25000</v>
      </c>
      <c r="M756" s="1496"/>
      <c r="N756" s="1372">
        <v>30000</v>
      </c>
      <c r="O756" s="1496"/>
      <c r="P756" s="1372">
        <v>35000</v>
      </c>
      <c r="Q756" s="1496"/>
      <c r="R756" s="1372">
        <v>40000</v>
      </c>
      <c r="S756" s="1496"/>
      <c r="T756" s="1372">
        <v>45000</v>
      </c>
      <c r="U756" s="1496"/>
      <c r="V756" s="1372">
        <v>45000</v>
      </c>
      <c r="W756" s="1373">
        <v>0</v>
      </c>
      <c r="X756" s="1374"/>
      <c r="Y756" s="1560" t="s">
        <v>1152</v>
      </c>
    </row>
    <row r="757" spans="2:25" s="210" customFormat="1" ht="38.25" x14ac:dyDescent="0.25">
      <c r="B757" s="2079"/>
      <c r="C757" s="1370"/>
      <c r="D757" s="1370"/>
      <c r="E757" s="1370"/>
      <c r="F757" s="1370"/>
      <c r="G757" s="1047" t="s">
        <v>963</v>
      </c>
      <c r="H757" s="1047" t="s">
        <v>3146</v>
      </c>
      <c r="I757" s="1049" t="s">
        <v>79</v>
      </c>
      <c r="J757" s="1374">
        <v>0</v>
      </c>
      <c r="K757" s="1374">
        <v>1</v>
      </c>
      <c r="L757" s="1372">
        <f>SUM(L758)</f>
        <v>24500</v>
      </c>
      <c r="M757" s="1374">
        <v>1</v>
      </c>
      <c r="N757" s="1372">
        <f>SUM(N758)</f>
        <v>25500</v>
      </c>
      <c r="O757" s="1374">
        <v>1</v>
      </c>
      <c r="P757" s="1372">
        <f>SUM(P758)</f>
        <v>26500</v>
      </c>
      <c r="Q757" s="1374">
        <v>1</v>
      </c>
      <c r="R757" s="1372">
        <f>SUM(R758)</f>
        <v>27500</v>
      </c>
      <c r="S757" s="1374">
        <v>1</v>
      </c>
      <c r="T757" s="1372">
        <f>SUM(T758)</f>
        <v>28500</v>
      </c>
      <c r="U757" s="1374">
        <v>1</v>
      </c>
      <c r="V757" s="1372">
        <f>SUM(V758)</f>
        <v>28500</v>
      </c>
      <c r="W757" s="1561">
        <v>5</v>
      </c>
      <c r="X757" s="1374"/>
      <c r="Y757" s="1560" t="s">
        <v>1152</v>
      </c>
    </row>
    <row r="758" spans="2:25" s="210" customFormat="1" ht="51" x14ac:dyDescent="0.25">
      <c r="B758" s="2079"/>
      <c r="C758" s="1371"/>
      <c r="D758" s="1371"/>
      <c r="E758" s="1371"/>
      <c r="F758" s="1371"/>
      <c r="G758" s="1047" t="s">
        <v>169</v>
      </c>
      <c r="H758" s="1047" t="s">
        <v>964</v>
      </c>
      <c r="I758" s="1049"/>
      <c r="J758" s="1496"/>
      <c r="K758" s="1496">
        <v>1</v>
      </c>
      <c r="L758" s="1372">
        <v>24500</v>
      </c>
      <c r="M758" s="1496">
        <v>1</v>
      </c>
      <c r="N758" s="1372">
        <v>25500</v>
      </c>
      <c r="O758" s="1496">
        <v>1</v>
      </c>
      <c r="P758" s="1372">
        <v>26500</v>
      </c>
      <c r="Q758" s="1496">
        <v>1</v>
      </c>
      <c r="R758" s="1372">
        <v>27500</v>
      </c>
      <c r="S758" s="1496">
        <v>1</v>
      </c>
      <c r="T758" s="1372">
        <v>28500</v>
      </c>
      <c r="U758" s="1496">
        <v>1</v>
      </c>
      <c r="V758" s="1372">
        <v>28500</v>
      </c>
      <c r="W758" s="1373">
        <v>5</v>
      </c>
      <c r="X758" s="1374"/>
      <c r="Y758" s="1560" t="s">
        <v>1152</v>
      </c>
    </row>
    <row r="759" spans="2:25" s="210" customFormat="1" ht="13.5" thickBot="1" x14ac:dyDescent="0.3">
      <c r="B759" s="1562" t="s">
        <v>1814</v>
      </c>
      <c r="C759" s="1563"/>
      <c r="D759" s="1563"/>
      <c r="E759" s="1563"/>
      <c r="F759" s="1564"/>
      <c r="G759" s="1375"/>
      <c r="H759" s="1375"/>
      <c r="I759" s="1376"/>
      <c r="J759" s="1377"/>
      <c r="K759" s="1377"/>
      <c r="L759" s="1565">
        <f>SUM(L693:L758)/2</f>
        <v>1982569</v>
      </c>
      <c r="M759" s="1377"/>
      <c r="N759" s="1565">
        <f>SUM(N693:N758)/2</f>
        <v>2388250</v>
      </c>
      <c r="O759" s="1377"/>
      <c r="P759" s="1565">
        <f>SUM(P693:P758)/2</f>
        <v>2460800</v>
      </c>
      <c r="Q759" s="1377"/>
      <c r="R759" s="1565">
        <f>SUM(R693:R758)/2</f>
        <v>3091680</v>
      </c>
      <c r="S759" s="1377"/>
      <c r="T759" s="1565">
        <f>SUM(T693:T758)/2</f>
        <v>3309523</v>
      </c>
      <c r="U759" s="1377"/>
      <c r="V759" s="1565">
        <f>SUM(V693:V758)/2</f>
        <v>3360500.3</v>
      </c>
      <c r="W759" s="1378"/>
      <c r="X759" s="1379"/>
      <c r="Y759" s="1380"/>
    </row>
    <row r="760" spans="2:25" s="210" customFormat="1" ht="13.5" thickTop="1" x14ac:dyDescent="0.25">
      <c r="I760" s="1381"/>
      <c r="L760" s="875"/>
      <c r="N760" s="875"/>
      <c r="P760" s="875"/>
      <c r="R760" s="875"/>
      <c r="T760" s="875"/>
      <c r="V760" s="875"/>
    </row>
    <row r="761" spans="2:25" s="210" customFormat="1" ht="13.5" thickBot="1" x14ac:dyDescent="0.3">
      <c r="B761" s="219" t="s">
        <v>493</v>
      </c>
      <c r="I761" s="1381"/>
      <c r="L761" s="875"/>
      <c r="N761" s="875"/>
      <c r="P761" s="875"/>
      <c r="R761" s="875"/>
      <c r="T761" s="875"/>
      <c r="V761" s="875"/>
    </row>
    <row r="762" spans="2:25" ht="13.5" thickTop="1" x14ac:dyDescent="0.25">
      <c r="B762" s="2045" t="s">
        <v>494</v>
      </c>
      <c r="C762" s="2040" t="s">
        <v>752</v>
      </c>
      <c r="D762" s="2040" t="s">
        <v>576</v>
      </c>
      <c r="E762" s="2040" t="s">
        <v>577</v>
      </c>
      <c r="F762" s="2040" t="s">
        <v>3127</v>
      </c>
      <c r="G762" s="2040" t="s">
        <v>3128</v>
      </c>
      <c r="H762" s="2040" t="s">
        <v>966</v>
      </c>
      <c r="I762" s="2040" t="s">
        <v>421</v>
      </c>
      <c r="J762" s="2055" t="s">
        <v>967</v>
      </c>
      <c r="K762" s="2053" t="s">
        <v>7</v>
      </c>
      <c r="L762" s="2054"/>
      <c r="M762" s="2054"/>
      <c r="N762" s="2054"/>
      <c r="O762" s="2054"/>
      <c r="P762" s="2054"/>
      <c r="Q762" s="2054"/>
      <c r="R762" s="2054"/>
      <c r="S762" s="2054"/>
      <c r="T762" s="2054"/>
      <c r="U762" s="2054"/>
      <c r="V762" s="2054"/>
      <c r="W762" s="2054"/>
      <c r="X762" s="2040" t="s">
        <v>653</v>
      </c>
      <c r="Y762" s="2049" t="s">
        <v>1147</v>
      </c>
    </row>
    <row r="763" spans="2:25" x14ac:dyDescent="0.25">
      <c r="B763" s="2046"/>
      <c r="C763" s="2041"/>
      <c r="D763" s="2041"/>
      <c r="E763" s="2041"/>
      <c r="F763" s="2041"/>
      <c r="G763" s="2041"/>
      <c r="H763" s="2041"/>
      <c r="I763" s="2041"/>
      <c r="J763" s="2052"/>
      <c r="K763" s="2051" t="s">
        <v>114</v>
      </c>
      <c r="L763" s="2038"/>
      <c r="M763" s="2051" t="s">
        <v>115</v>
      </c>
      <c r="N763" s="2038"/>
      <c r="O763" s="2051" t="s">
        <v>116</v>
      </c>
      <c r="P763" s="2038"/>
      <c r="Q763" s="2051" t="s">
        <v>117</v>
      </c>
      <c r="R763" s="2038"/>
      <c r="S763" s="2051" t="s">
        <v>118</v>
      </c>
      <c r="T763" s="2038"/>
      <c r="U763" s="2051" t="s">
        <v>119</v>
      </c>
      <c r="V763" s="2038"/>
      <c r="W763" s="2052" t="s">
        <v>968</v>
      </c>
      <c r="X763" s="2041"/>
      <c r="Y763" s="2050"/>
    </row>
    <row r="764" spans="2:25" x14ac:dyDescent="0.25">
      <c r="B764" s="2046"/>
      <c r="C764" s="2041"/>
      <c r="D764" s="2041"/>
      <c r="E764" s="2041"/>
      <c r="F764" s="2041"/>
      <c r="G764" s="2041"/>
      <c r="H764" s="2041"/>
      <c r="I764" s="2041"/>
      <c r="J764" s="2052"/>
      <c r="K764" s="1263" t="s">
        <v>9</v>
      </c>
      <c r="L764" s="1503" t="s">
        <v>3107</v>
      </c>
      <c r="M764" s="1263" t="s">
        <v>9</v>
      </c>
      <c r="N764" s="1503" t="s">
        <v>1355</v>
      </c>
      <c r="O764" s="1263" t="s">
        <v>9</v>
      </c>
      <c r="P764" s="1503" t="s">
        <v>1355</v>
      </c>
      <c r="Q764" s="1263" t="s">
        <v>9</v>
      </c>
      <c r="R764" s="1503" t="s">
        <v>1355</v>
      </c>
      <c r="S764" s="1263" t="s">
        <v>9</v>
      </c>
      <c r="T764" s="1503" t="s">
        <v>1355</v>
      </c>
      <c r="U764" s="1263" t="s">
        <v>9</v>
      </c>
      <c r="V764" s="1503" t="s">
        <v>1355</v>
      </c>
      <c r="W764" s="2052"/>
      <c r="X764" s="2041"/>
      <c r="Y764" s="2050"/>
    </row>
    <row r="765" spans="2:25" s="1239" customFormat="1" x14ac:dyDescent="0.25">
      <c r="B765" s="1504" t="s">
        <v>586</v>
      </c>
      <c r="C765" s="1448" t="s">
        <v>585</v>
      </c>
      <c r="D765" s="1448" t="s">
        <v>654</v>
      </c>
      <c r="E765" s="1448" t="s">
        <v>655</v>
      </c>
      <c r="F765" s="1505" t="s">
        <v>32</v>
      </c>
      <c r="G765" s="933">
        <v>6</v>
      </c>
      <c r="H765" s="1505">
        <v>7</v>
      </c>
      <c r="I765" s="1445" t="s">
        <v>3065</v>
      </c>
      <c r="J765" s="1269" t="s">
        <v>3066</v>
      </c>
      <c r="K765" s="1269" t="s">
        <v>3067</v>
      </c>
      <c r="L765" s="1506" t="s">
        <v>3068</v>
      </c>
      <c r="M765" s="1269" t="s">
        <v>3069</v>
      </c>
      <c r="N765" s="1506">
        <v>13</v>
      </c>
      <c r="O765" s="1269">
        <v>14</v>
      </c>
      <c r="P765" s="1506">
        <v>15</v>
      </c>
      <c r="Q765" s="1269">
        <v>16</v>
      </c>
      <c r="R765" s="1506">
        <v>17</v>
      </c>
      <c r="S765" s="1269">
        <v>18</v>
      </c>
      <c r="T765" s="1506">
        <v>19</v>
      </c>
      <c r="U765" s="1269">
        <v>20</v>
      </c>
      <c r="V765" s="1506">
        <v>21</v>
      </c>
      <c r="W765" s="1269">
        <v>22</v>
      </c>
      <c r="X765" s="1445">
        <v>23</v>
      </c>
      <c r="Y765" s="1507">
        <v>24</v>
      </c>
    </row>
    <row r="766" spans="2:25" s="210" customFormat="1" ht="51" customHeight="1" x14ac:dyDescent="0.25">
      <c r="B766" s="2081" t="s">
        <v>422</v>
      </c>
      <c r="C766" s="2076" t="s">
        <v>423</v>
      </c>
      <c r="D766" s="1403" t="s">
        <v>3929</v>
      </c>
      <c r="E766" s="2076" t="s">
        <v>3930</v>
      </c>
      <c r="F766" s="1403" t="s">
        <v>3147</v>
      </c>
      <c r="G766" s="1473" t="s">
        <v>3148</v>
      </c>
      <c r="H766" s="1403" t="s">
        <v>3147</v>
      </c>
      <c r="I766" s="1438" t="s">
        <v>364</v>
      </c>
      <c r="J766" s="1438">
        <v>867</v>
      </c>
      <c r="K766" s="1438">
        <v>750</v>
      </c>
      <c r="L766" s="1438"/>
      <c r="M766" s="1438">
        <v>600</v>
      </c>
      <c r="N766" s="1438"/>
      <c r="O766" s="1566">
        <v>560</v>
      </c>
      <c r="P766" s="1438"/>
      <c r="Q766" s="1566">
        <v>485</v>
      </c>
      <c r="R766" s="1438"/>
      <c r="S766" s="1566">
        <v>400</v>
      </c>
      <c r="T766" s="1438"/>
      <c r="U766" s="1566">
        <v>300</v>
      </c>
      <c r="V766" s="1438"/>
      <c r="W766" s="1566">
        <v>300</v>
      </c>
      <c r="X766" s="1388"/>
      <c r="Y766" s="209" t="s">
        <v>493</v>
      </c>
    </row>
    <row r="767" spans="2:25" s="210" customFormat="1" ht="63.75" x14ac:dyDescent="0.25">
      <c r="B767" s="2082"/>
      <c r="C767" s="2077"/>
      <c r="D767" s="1382"/>
      <c r="E767" s="2077"/>
      <c r="F767" s="1382"/>
      <c r="G767" s="1383" t="s">
        <v>424</v>
      </c>
      <c r="H767" s="1047" t="s">
        <v>3149</v>
      </c>
      <c r="I767" s="1049" t="s">
        <v>40</v>
      </c>
      <c r="J767" s="1496">
        <v>60</v>
      </c>
      <c r="K767" s="1496">
        <v>12</v>
      </c>
      <c r="L767" s="1675">
        <f>SUM(L768:L772)</f>
        <v>1509500</v>
      </c>
      <c r="M767" s="1496">
        <v>12</v>
      </c>
      <c r="N767" s="1675">
        <f>SUM(N768:N772)</f>
        <v>1938349</v>
      </c>
      <c r="O767" s="1496">
        <v>12</v>
      </c>
      <c r="P767" s="1675">
        <f>SUM(P768:P772)</f>
        <v>2355560</v>
      </c>
      <c r="Q767" s="1496">
        <v>12</v>
      </c>
      <c r="R767" s="1675">
        <f>SUM(R768:R772)</f>
        <v>2602449.0099999998</v>
      </c>
      <c r="S767" s="1496">
        <v>12</v>
      </c>
      <c r="T767" s="1675">
        <f>SUM(T768:T772)</f>
        <v>2876783.9110000003</v>
      </c>
      <c r="U767" s="1496">
        <v>12</v>
      </c>
      <c r="V767" s="1675">
        <f>SUM(V768:V772)</f>
        <v>3154462.3021</v>
      </c>
      <c r="W767" s="1496">
        <v>60</v>
      </c>
      <c r="X767" s="1388"/>
      <c r="Y767" s="209" t="s">
        <v>493</v>
      </c>
    </row>
    <row r="768" spans="2:25" s="210" customFormat="1" ht="63.75" x14ac:dyDescent="0.25">
      <c r="B768" s="2082"/>
      <c r="C768" s="2077"/>
      <c r="D768" s="1382"/>
      <c r="E768" s="1382"/>
      <c r="F768" s="1382"/>
      <c r="G768" s="1383" t="s">
        <v>425</v>
      </c>
      <c r="H768" s="1383" t="s">
        <v>426</v>
      </c>
      <c r="I768" s="1384" t="s">
        <v>427</v>
      </c>
      <c r="J768" s="1385"/>
      <c r="K768" s="1383">
        <v>70</v>
      </c>
      <c r="L768" s="1386">
        <v>1138000</v>
      </c>
      <c r="M768" s="1383">
        <v>80</v>
      </c>
      <c r="N768" s="1386">
        <v>1489449</v>
      </c>
      <c r="O768" s="1383">
        <v>90</v>
      </c>
      <c r="P768" s="1387">
        <v>1787400</v>
      </c>
      <c r="Q768" s="1383">
        <v>100</v>
      </c>
      <c r="R768" s="1387">
        <v>1952873.01</v>
      </c>
      <c r="S768" s="1383">
        <v>100</v>
      </c>
      <c r="T768" s="1387">
        <v>2148160.3110000002</v>
      </c>
      <c r="U768" s="1383">
        <v>100</v>
      </c>
      <c r="V768" s="1387">
        <v>2362976.3421</v>
      </c>
      <c r="W768" s="1383"/>
      <c r="X768" s="1388"/>
      <c r="Y768" s="209" t="s">
        <v>493</v>
      </c>
    </row>
    <row r="769" spans="2:25" s="210" customFormat="1" ht="76.5" x14ac:dyDescent="0.25">
      <c r="B769" s="2082"/>
      <c r="C769" s="1382"/>
      <c r="D769" s="1382"/>
      <c r="E769" s="1382"/>
      <c r="F769" s="1382"/>
      <c r="G769" s="1383" t="s">
        <v>428</v>
      </c>
      <c r="H769" s="1383" t="s">
        <v>429</v>
      </c>
      <c r="I769" s="1384" t="s">
        <v>427</v>
      </c>
      <c r="J769" s="1385"/>
      <c r="K769" s="1383">
        <v>92</v>
      </c>
      <c r="L769" s="1386">
        <v>201500</v>
      </c>
      <c r="M769" s="1383">
        <v>100</v>
      </c>
      <c r="N769" s="1386">
        <v>288900</v>
      </c>
      <c r="O769" s="1383">
        <v>100</v>
      </c>
      <c r="P769" s="1387">
        <v>335160</v>
      </c>
      <c r="Q769" s="1383">
        <v>100</v>
      </c>
      <c r="R769" s="1387">
        <v>368676</v>
      </c>
      <c r="S769" s="1383">
        <v>100</v>
      </c>
      <c r="T769" s="1387">
        <v>405543.6</v>
      </c>
      <c r="U769" s="1383">
        <v>100</v>
      </c>
      <c r="V769" s="1387">
        <v>446097.96</v>
      </c>
      <c r="W769" s="1383"/>
      <c r="X769" s="1388"/>
      <c r="Y769" s="209" t="s">
        <v>493</v>
      </c>
    </row>
    <row r="770" spans="2:25" s="210" customFormat="1" ht="38.25" x14ac:dyDescent="0.25">
      <c r="B770" s="2082"/>
      <c r="C770" s="1382"/>
      <c r="D770" s="1382"/>
      <c r="E770" s="1382"/>
      <c r="F770" s="1382"/>
      <c r="G770" s="1383" t="s">
        <v>107</v>
      </c>
      <c r="H770" s="1383" t="s">
        <v>430</v>
      </c>
      <c r="I770" s="1384" t="s">
        <v>79</v>
      </c>
      <c r="J770" s="1385"/>
      <c r="K770" s="1383"/>
      <c r="L770" s="1386">
        <v>0</v>
      </c>
      <c r="M770" s="1383"/>
      <c r="N770" s="1389">
        <v>0</v>
      </c>
      <c r="O770" s="1383">
        <v>1</v>
      </c>
      <c r="P770" s="1390">
        <v>30000</v>
      </c>
      <c r="Q770" s="1383">
        <v>1</v>
      </c>
      <c r="R770" s="1390">
        <v>35000</v>
      </c>
      <c r="S770" s="1383">
        <v>1</v>
      </c>
      <c r="T770" s="1390">
        <v>35000</v>
      </c>
      <c r="U770" s="1383">
        <v>1</v>
      </c>
      <c r="V770" s="1390">
        <v>35000</v>
      </c>
      <c r="W770" s="1391"/>
      <c r="X770" s="1392"/>
      <c r="Y770" s="209" t="s">
        <v>493</v>
      </c>
    </row>
    <row r="771" spans="2:25" s="210" customFormat="1" ht="140.25" x14ac:dyDescent="0.25">
      <c r="B771" s="2082"/>
      <c r="C771" s="1382"/>
      <c r="D771" s="1382"/>
      <c r="E771" s="1382"/>
      <c r="F771" s="1382"/>
      <c r="G771" s="1383" t="s">
        <v>431</v>
      </c>
      <c r="H771" s="1383" t="s">
        <v>432</v>
      </c>
      <c r="I771" s="1384" t="s">
        <v>427</v>
      </c>
      <c r="J771" s="1385"/>
      <c r="K771" s="1383">
        <v>60</v>
      </c>
      <c r="L771" s="1386">
        <v>50000</v>
      </c>
      <c r="M771" s="1383">
        <v>60</v>
      </c>
      <c r="N771" s="1389">
        <v>50000</v>
      </c>
      <c r="O771" s="1383">
        <v>60</v>
      </c>
      <c r="P771" s="1390">
        <v>60000</v>
      </c>
      <c r="Q771" s="1383">
        <v>60</v>
      </c>
      <c r="R771" s="1390">
        <v>60000</v>
      </c>
      <c r="S771" s="1393">
        <v>60</v>
      </c>
      <c r="T771" s="1390">
        <v>65000</v>
      </c>
      <c r="U771" s="1393">
        <v>60</v>
      </c>
      <c r="V771" s="1390">
        <v>65000</v>
      </c>
      <c r="W771" s="1394"/>
      <c r="X771" s="1395"/>
      <c r="Y771" s="209" t="s">
        <v>493</v>
      </c>
    </row>
    <row r="772" spans="2:25" s="210" customFormat="1" ht="89.25" x14ac:dyDescent="0.25">
      <c r="B772" s="2082"/>
      <c r="C772" s="1382"/>
      <c r="D772" s="1382"/>
      <c r="E772" s="1382"/>
      <c r="F772" s="1382"/>
      <c r="G772" s="1383" t="s">
        <v>433</v>
      </c>
      <c r="H772" s="1383" t="s">
        <v>434</v>
      </c>
      <c r="I772" s="1384" t="s">
        <v>427</v>
      </c>
      <c r="J772" s="1385"/>
      <c r="K772" s="1383">
        <v>100</v>
      </c>
      <c r="L772" s="1386">
        <v>120000</v>
      </c>
      <c r="M772" s="1383">
        <v>100</v>
      </c>
      <c r="N772" s="1386">
        <v>110000</v>
      </c>
      <c r="O772" s="1383">
        <v>150</v>
      </c>
      <c r="P772" s="1387">
        <v>143000</v>
      </c>
      <c r="Q772" s="1383">
        <v>170</v>
      </c>
      <c r="R772" s="1387">
        <v>185900</v>
      </c>
      <c r="S772" s="1383">
        <v>200</v>
      </c>
      <c r="T772" s="1387">
        <v>223080</v>
      </c>
      <c r="U772" s="1383">
        <v>200</v>
      </c>
      <c r="V772" s="1387">
        <v>245388.00000000003</v>
      </c>
      <c r="W772" s="1383"/>
      <c r="X772" s="1388"/>
      <c r="Y772" s="209" t="s">
        <v>493</v>
      </c>
    </row>
    <row r="773" spans="2:25" s="210" customFormat="1" ht="51" x14ac:dyDescent="0.25">
      <c r="B773" s="2082"/>
      <c r="C773" s="1382"/>
      <c r="D773" s="1382"/>
      <c r="E773" s="1382"/>
      <c r="F773" s="1382"/>
      <c r="G773" s="1383" t="s">
        <v>435</v>
      </c>
      <c r="H773" s="1383" t="s">
        <v>3150</v>
      </c>
      <c r="I773" s="1384" t="s">
        <v>40</v>
      </c>
      <c r="J773" s="1385">
        <v>12</v>
      </c>
      <c r="K773" s="1383">
        <v>12</v>
      </c>
      <c r="L773" s="1386">
        <f>SUM(L774:L778)</f>
        <v>1535448.9</v>
      </c>
      <c r="M773" s="1383">
        <v>12</v>
      </c>
      <c r="N773" s="1386">
        <f>SUM(N774:N778)</f>
        <v>1476428.79</v>
      </c>
      <c r="O773" s="1383">
        <v>12</v>
      </c>
      <c r="P773" s="1386">
        <f>SUM(P774:P778)</f>
        <v>1514071.6690000002</v>
      </c>
      <c r="Q773" s="1383">
        <v>12</v>
      </c>
      <c r="R773" s="1386">
        <f>SUM(R774:R778)</f>
        <v>4165478.8358999998</v>
      </c>
      <c r="S773" s="1383">
        <v>12</v>
      </c>
      <c r="T773" s="1386">
        <f>SUM(T774:T778)</f>
        <v>1832026.7194899996</v>
      </c>
      <c r="U773" s="1383">
        <v>12</v>
      </c>
      <c r="V773" s="1386">
        <f>SUM(V774:V778)</f>
        <v>2015229.3914389997</v>
      </c>
      <c r="W773" s="1383">
        <v>60</v>
      </c>
      <c r="X773" s="1388"/>
      <c r="Y773" s="209" t="s">
        <v>493</v>
      </c>
    </row>
    <row r="774" spans="2:25" s="210" customFormat="1" ht="63.75" x14ac:dyDescent="0.25">
      <c r="B774" s="2082"/>
      <c r="C774" s="1382"/>
      <c r="D774" s="1382"/>
      <c r="E774" s="1382"/>
      <c r="F774" s="1382"/>
      <c r="G774" s="1383" t="s">
        <v>436</v>
      </c>
      <c r="H774" s="1383" t="s">
        <v>436</v>
      </c>
      <c r="I774" s="1384" t="s">
        <v>40</v>
      </c>
      <c r="J774" s="1385"/>
      <c r="K774" s="1383">
        <v>12</v>
      </c>
      <c r="L774" s="1386">
        <v>714989.9</v>
      </c>
      <c r="M774" s="1383">
        <v>12</v>
      </c>
      <c r="N774" s="1386">
        <v>786488.89</v>
      </c>
      <c r="O774" s="1383">
        <v>12</v>
      </c>
      <c r="P774" s="1387">
        <v>865137.77899999998</v>
      </c>
      <c r="Q774" s="1383">
        <v>12</v>
      </c>
      <c r="R774" s="1387">
        <v>951651.55689999985</v>
      </c>
      <c r="S774" s="1383">
        <v>12</v>
      </c>
      <c r="T774" s="1387">
        <v>1046816.7125899998</v>
      </c>
      <c r="U774" s="1383">
        <v>12</v>
      </c>
      <c r="V774" s="1387">
        <v>1151498.3838489996</v>
      </c>
      <c r="W774" s="1383"/>
      <c r="X774" s="1388"/>
      <c r="Y774" s="209" t="s">
        <v>493</v>
      </c>
    </row>
    <row r="775" spans="2:25" s="210" customFormat="1" ht="127.5" x14ac:dyDescent="0.25">
      <c r="B775" s="2082"/>
      <c r="C775" s="1382"/>
      <c r="D775" s="1382"/>
      <c r="E775" s="1382"/>
      <c r="F775" s="1382"/>
      <c r="G775" s="1383" t="s">
        <v>437</v>
      </c>
      <c r="H775" s="1383" t="s">
        <v>438</v>
      </c>
      <c r="I775" s="1384" t="s">
        <v>282</v>
      </c>
      <c r="J775" s="1385"/>
      <c r="K775" s="1383">
        <v>48</v>
      </c>
      <c r="L775" s="1386">
        <v>250000</v>
      </c>
      <c r="M775" s="1383">
        <v>48</v>
      </c>
      <c r="N775" s="1386">
        <v>275000</v>
      </c>
      <c r="O775" s="1383">
        <v>48</v>
      </c>
      <c r="P775" s="1387">
        <v>302500</v>
      </c>
      <c r="Q775" s="1383">
        <v>48</v>
      </c>
      <c r="R775" s="1387">
        <v>332750</v>
      </c>
      <c r="S775" s="1383">
        <v>48</v>
      </c>
      <c r="T775" s="1387">
        <v>366025</v>
      </c>
      <c r="U775" s="1383">
        <v>48</v>
      </c>
      <c r="V775" s="1387">
        <v>402627.5</v>
      </c>
      <c r="W775" s="1391"/>
      <c r="X775" s="1392"/>
      <c r="Y775" s="209" t="s">
        <v>493</v>
      </c>
    </row>
    <row r="776" spans="2:25" s="210" customFormat="1" ht="89.25" x14ac:dyDescent="0.25">
      <c r="B776" s="2082"/>
      <c r="C776" s="1382"/>
      <c r="D776" s="1382"/>
      <c r="E776" s="1382"/>
      <c r="F776" s="1382"/>
      <c r="G776" s="1383" t="s">
        <v>439</v>
      </c>
      <c r="H776" s="1383" t="s">
        <v>440</v>
      </c>
      <c r="I776" s="1384" t="s">
        <v>282</v>
      </c>
      <c r="J776" s="1385"/>
      <c r="K776" s="1383">
        <v>1</v>
      </c>
      <c r="L776" s="1386">
        <v>284150</v>
      </c>
      <c r="M776" s="1383">
        <v>1</v>
      </c>
      <c r="N776" s="1386">
        <v>100000</v>
      </c>
      <c r="O776" s="1383"/>
      <c r="P776" s="1387">
        <v>0</v>
      </c>
      <c r="Q776" s="1383">
        <v>3</v>
      </c>
      <c r="R776" s="1387">
        <v>2500000</v>
      </c>
      <c r="S776" s="1383"/>
      <c r="T776" s="1387">
        <v>0</v>
      </c>
      <c r="U776" s="1383"/>
      <c r="V776" s="1387">
        <v>0</v>
      </c>
      <c r="W776" s="1383"/>
      <c r="X776" s="1388"/>
      <c r="Y776" s="209" t="s">
        <v>493</v>
      </c>
    </row>
    <row r="777" spans="2:25" s="210" customFormat="1" ht="63.75" x14ac:dyDescent="0.25">
      <c r="B777" s="2082"/>
      <c r="C777" s="1382"/>
      <c r="D777" s="1382"/>
      <c r="E777" s="1382"/>
      <c r="F777" s="1382"/>
      <c r="G777" s="1383" t="s">
        <v>441</v>
      </c>
      <c r="H777" s="1383" t="s">
        <v>442</v>
      </c>
      <c r="I777" s="1384" t="s">
        <v>282</v>
      </c>
      <c r="J777" s="1385"/>
      <c r="K777" s="1383">
        <v>48</v>
      </c>
      <c r="L777" s="1386">
        <v>236309</v>
      </c>
      <c r="M777" s="1383">
        <v>48</v>
      </c>
      <c r="N777" s="1386">
        <v>259939.9</v>
      </c>
      <c r="O777" s="1383">
        <v>48</v>
      </c>
      <c r="P777" s="1387">
        <v>285933.89</v>
      </c>
      <c r="Q777" s="1383">
        <v>48</v>
      </c>
      <c r="R777" s="1387">
        <v>314527.27899999998</v>
      </c>
      <c r="S777" s="1383">
        <v>48</v>
      </c>
      <c r="T777" s="1387">
        <v>345980.00689999998</v>
      </c>
      <c r="U777" s="1383">
        <v>48</v>
      </c>
      <c r="V777" s="1387">
        <v>380578.00758999999</v>
      </c>
      <c r="W777" s="1383"/>
      <c r="X777" s="1388"/>
      <c r="Y777" s="209" t="s">
        <v>493</v>
      </c>
    </row>
    <row r="778" spans="2:25" s="210" customFormat="1" ht="89.25" x14ac:dyDescent="0.25">
      <c r="B778" s="2082"/>
      <c r="C778" s="1382"/>
      <c r="D778" s="1382"/>
      <c r="E778" s="1382"/>
      <c r="F778" s="1382"/>
      <c r="G778" s="1383" t="s">
        <v>443</v>
      </c>
      <c r="H778" s="1383" t="s">
        <v>444</v>
      </c>
      <c r="I778" s="1384" t="s">
        <v>282</v>
      </c>
      <c r="J778" s="1396"/>
      <c r="K778" s="1383">
        <v>24</v>
      </c>
      <c r="L778" s="1386">
        <v>50000</v>
      </c>
      <c r="M778" s="1383">
        <v>24</v>
      </c>
      <c r="N778" s="1386">
        <v>55000</v>
      </c>
      <c r="O778" s="1383">
        <v>36</v>
      </c>
      <c r="P778" s="1387">
        <v>60500</v>
      </c>
      <c r="Q778" s="1383">
        <v>36</v>
      </c>
      <c r="R778" s="1387">
        <v>66550</v>
      </c>
      <c r="S778" s="1383">
        <v>48</v>
      </c>
      <c r="T778" s="1387">
        <v>73205</v>
      </c>
      <c r="U778" s="1383">
        <v>48</v>
      </c>
      <c r="V778" s="1387">
        <v>80525.5</v>
      </c>
      <c r="W778" s="1383"/>
      <c r="X778" s="1388"/>
      <c r="Y778" s="209" t="s">
        <v>493</v>
      </c>
    </row>
    <row r="779" spans="2:25" s="210" customFormat="1" ht="38.25" x14ac:dyDescent="0.25">
      <c r="B779" s="2082"/>
      <c r="C779" s="1382"/>
      <c r="D779" s="1382"/>
      <c r="E779" s="1382"/>
      <c r="F779" s="1382"/>
      <c r="G779" s="1383" t="s">
        <v>446</v>
      </c>
      <c r="H779" s="1383" t="s">
        <v>445</v>
      </c>
      <c r="I779" s="1384" t="s">
        <v>19</v>
      </c>
      <c r="J779" s="1385">
        <v>10</v>
      </c>
      <c r="K779" s="1383">
        <v>20</v>
      </c>
      <c r="L779" s="1386">
        <f>SUM(L780:L782)</f>
        <v>0</v>
      </c>
      <c r="M779" s="1387">
        <v>20</v>
      </c>
      <c r="N779" s="1386">
        <f>SUM(N780:N782)</f>
        <v>65000</v>
      </c>
      <c r="O779" s="1387">
        <v>20</v>
      </c>
      <c r="P779" s="1386">
        <f>SUM(P780:P782)</f>
        <v>499200</v>
      </c>
      <c r="Q779" s="1387">
        <v>20</v>
      </c>
      <c r="R779" s="1386">
        <f>SUM(R780:R782)</f>
        <v>481700</v>
      </c>
      <c r="S779" s="1387">
        <v>20</v>
      </c>
      <c r="T779" s="1386">
        <f>SUM(T780:T782)</f>
        <v>311100</v>
      </c>
      <c r="U779" s="1387">
        <v>20</v>
      </c>
      <c r="V779" s="1386">
        <f>SUM(V780:V782)</f>
        <v>262700</v>
      </c>
      <c r="W779" s="1383">
        <v>100</v>
      </c>
      <c r="X779" s="1388"/>
      <c r="Y779" s="209" t="s">
        <v>493</v>
      </c>
    </row>
    <row r="780" spans="2:25" s="210" customFormat="1" ht="63.75" x14ac:dyDescent="0.25">
      <c r="B780" s="2082"/>
      <c r="C780" s="1382"/>
      <c r="D780" s="1382"/>
      <c r="E780" s="1382"/>
      <c r="F780" s="1382"/>
      <c r="G780" s="1383" t="s">
        <v>447</v>
      </c>
      <c r="H780" s="1383" t="s">
        <v>448</v>
      </c>
      <c r="I780" s="1384" t="s">
        <v>427</v>
      </c>
      <c r="J780" s="1385"/>
      <c r="K780" s="1383">
        <v>0</v>
      </c>
      <c r="L780" s="1386">
        <v>0</v>
      </c>
      <c r="M780" s="1397" t="s">
        <v>313</v>
      </c>
      <c r="N780" s="1389">
        <v>0</v>
      </c>
      <c r="O780" s="1383">
        <v>35</v>
      </c>
      <c r="P780" s="1398">
        <v>40000</v>
      </c>
      <c r="Q780" s="1383">
        <v>35</v>
      </c>
      <c r="R780" s="1398">
        <v>44000</v>
      </c>
      <c r="S780" s="1383">
        <v>35</v>
      </c>
      <c r="T780" s="1398">
        <v>48400</v>
      </c>
      <c r="U780" s="1397" t="s">
        <v>313</v>
      </c>
      <c r="V780" s="1398">
        <v>0</v>
      </c>
      <c r="W780" s="1391">
        <v>105</v>
      </c>
      <c r="X780" s="1392"/>
      <c r="Y780" s="209" t="s">
        <v>493</v>
      </c>
    </row>
    <row r="781" spans="2:25" s="210" customFormat="1" ht="216.75" x14ac:dyDescent="0.25">
      <c r="B781" s="2082"/>
      <c r="C781" s="1382"/>
      <c r="D781" s="1382"/>
      <c r="E781" s="1382"/>
      <c r="F781" s="1382"/>
      <c r="G781" s="1399" t="s">
        <v>449</v>
      </c>
      <c r="H781" s="1383" t="s">
        <v>450</v>
      </c>
      <c r="I781" s="1384" t="s">
        <v>427</v>
      </c>
      <c r="J781" s="1385"/>
      <c r="K781" s="1383"/>
      <c r="L781" s="1386">
        <v>0</v>
      </c>
      <c r="M781" s="1397" t="s">
        <v>313</v>
      </c>
      <c r="N781" s="1389">
        <v>0</v>
      </c>
      <c r="O781" s="1383">
        <v>75</v>
      </c>
      <c r="P781" s="1387">
        <v>387700</v>
      </c>
      <c r="Q781" s="1383">
        <v>75</v>
      </c>
      <c r="R781" s="1387">
        <v>437700</v>
      </c>
      <c r="S781" s="1383">
        <v>75</v>
      </c>
      <c r="T781" s="1387">
        <v>262700</v>
      </c>
      <c r="U781" s="1383">
        <v>75</v>
      </c>
      <c r="V781" s="1387">
        <v>262700</v>
      </c>
      <c r="W781" s="1383"/>
      <c r="X781" s="1388"/>
      <c r="Y781" s="209" t="s">
        <v>493</v>
      </c>
    </row>
    <row r="782" spans="2:25" s="210" customFormat="1" ht="38.25" x14ac:dyDescent="0.25">
      <c r="B782" s="2083"/>
      <c r="C782" s="1400"/>
      <c r="D782" s="1400"/>
      <c r="E782" s="1400"/>
      <c r="F782" s="1400"/>
      <c r="G782" s="1383" t="s">
        <v>451</v>
      </c>
      <c r="H782" s="1383" t="s">
        <v>452</v>
      </c>
      <c r="I782" s="1384" t="s">
        <v>427</v>
      </c>
      <c r="J782" s="1385"/>
      <c r="K782" s="1383">
        <v>0</v>
      </c>
      <c r="L782" s="1386">
        <v>0</v>
      </c>
      <c r="M782" s="1383">
        <v>75</v>
      </c>
      <c r="N782" s="1389">
        <v>65000</v>
      </c>
      <c r="O782" s="1383">
        <v>75</v>
      </c>
      <c r="P782" s="1390">
        <v>71500</v>
      </c>
      <c r="Q782" s="1383"/>
      <c r="R782" s="1390">
        <v>0</v>
      </c>
      <c r="S782" s="1383"/>
      <c r="T782" s="1390">
        <v>0</v>
      </c>
      <c r="U782" s="1383">
        <v>75</v>
      </c>
      <c r="V782" s="1390">
        <v>0</v>
      </c>
      <c r="W782" s="1383"/>
      <c r="X782" s="1388"/>
      <c r="Y782" s="209" t="s">
        <v>493</v>
      </c>
    </row>
    <row r="783" spans="2:25" s="210" customFormat="1" x14ac:dyDescent="0.25">
      <c r="B783" s="1748"/>
      <c r="C783" s="1382"/>
      <c r="D783" s="1382"/>
      <c r="E783" s="1382"/>
      <c r="F783" s="1382"/>
      <c r="G783" s="1383"/>
      <c r="H783" s="1383"/>
      <c r="I783" s="1384"/>
      <c r="J783" s="1385"/>
      <c r="K783" s="1383"/>
      <c r="L783" s="1386"/>
      <c r="M783" s="1383"/>
      <c r="N783" s="1389"/>
      <c r="O783" s="1383"/>
      <c r="P783" s="1390"/>
      <c r="Q783" s="1383"/>
      <c r="R783" s="1390"/>
      <c r="S783" s="1383"/>
      <c r="T783" s="1390"/>
      <c r="U783" s="1383"/>
      <c r="V783" s="1390"/>
      <c r="W783" s="1383"/>
      <c r="X783" s="1388"/>
      <c r="Y783" s="209"/>
    </row>
    <row r="784" spans="2:25" s="210" customFormat="1" ht="63.75" customHeight="1" x14ac:dyDescent="0.25">
      <c r="B784" s="2081" t="s">
        <v>33</v>
      </c>
      <c r="C784" s="2042" t="s">
        <v>34</v>
      </c>
      <c r="D784" s="2042" t="s">
        <v>3831</v>
      </c>
      <c r="E784" s="2042" t="s">
        <v>3832</v>
      </c>
      <c r="F784" s="2042" t="s">
        <v>3913</v>
      </c>
      <c r="G784" s="173" t="s">
        <v>3133</v>
      </c>
      <c r="H784" s="1383" t="s">
        <v>35</v>
      </c>
      <c r="I784" s="1384" t="s">
        <v>19</v>
      </c>
      <c r="J784" s="1385">
        <v>90</v>
      </c>
      <c r="K784" s="1383">
        <v>91</v>
      </c>
      <c r="L784" s="1386"/>
      <c r="M784" s="1383">
        <v>92</v>
      </c>
      <c r="N784" s="1386"/>
      <c r="O784" s="1383">
        <v>93</v>
      </c>
      <c r="P784" s="1386"/>
      <c r="Q784" s="1383">
        <v>94</v>
      </c>
      <c r="R784" s="1386"/>
      <c r="S784" s="1383">
        <v>95</v>
      </c>
      <c r="T784" s="1386"/>
      <c r="U784" s="1383">
        <v>96</v>
      </c>
      <c r="V784" s="1386"/>
      <c r="W784" s="1383">
        <v>95</v>
      </c>
      <c r="X784" s="1388"/>
      <c r="Y784" s="209" t="s">
        <v>493</v>
      </c>
    </row>
    <row r="785" spans="2:25" s="210" customFormat="1" ht="76.5" x14ac:dyDescent="0.25">
      <c r="B785" s="2082"/>
      <c r="C785" s="2043"/>
      <c r="D785" s="2043"/>
      <c r="E785" s="2043"/>
      <c r="F785" s="2043"/>
      <c r="G785" s="1400" t="s">
        <v>36</v>
      </c>
      <c r="H785" s="1400" t="s">
        <v>453</v>
      </c>
      <c r="I785" s="1567" t="s">
        <v>19</v>
      </c>
      <c r="J785" s="1568">
        <v>100</v>
      </c>
      <c r="K785" s="1400">
        <v>20</v>
      </c>
      <c r="L785" s="1569">
        <f>SUM(L786:L799)</f>
        <v>505444.1</v>
      </c>
      <c r="M785" s="1400">
        <v>20</v>
      </c>
      <c r="N785" s="1569">
        <f>SUM(N786:N799)</f>
        <v>504444.1</v>
      </c>
      <c r="O785" s="1400">
        <v>15</v>
      </c>
      <c r="P785" s="1569">
        <f>SUM(P786:P799)</f>
        <v>608721.67999999993</v>
      </c>
      <c r="Q785" s="1570">
        <v>15</v>
      </c>
      <c r="R785" s="1569">
        <f>SUM(R786:R799)</f>
        <v>673431.4</v>
      </c>
      <c r="S785" s="1570">
        <v>15</v>
      </c>
      <c r="T785" s="1569">
        <f>SUM(T786:T799)</f>
        <v>735430.04</v>
      </c>
      <c r="U785" s="1570">
        <v>15</v>
      </c>
      <c r="V785" s="1569">
        <f>SUM(V786:V799)</f>
        <v>772946.04</v>
      </c>
      <c r="W785" s="1400">
        <v>100</v>
      </c>
      <c r="X785" s="1571"/>
      <c r="Y785" s="209" t="s">
        <v>493</v>
      </c>
    </row>
    <row r="786" spans="2:25" s="210" customFormat="1" ht="25.5" x14ac:dyDescent="0.25">
      <c r="B786" s="2082"/>
      <c r="C786" s="1382"/>
      <c r="D786" s="1382"/>
      <c r="E786" s="1382"/>
      <c r="F786" s="1382"/>
      <c r="G786" s="1383" t="s">
        <v>124</v>
      </c>
      <c r="H786" s="1383" t="s">
        <v>454</v>
      </c>
      <c r="I786" s="1384" t="s">
        <v>40</v>
      </c>
      <c r="J786" s="1385"/>
      <c r="K786" s="1401">
        <v>12</v>
      </c>
      <c r="L786" s="1386">
        <v>1200</v>
      </c>
      <c r="M786" s="1401">
        <v>12</v>
      </c>
      <c r="N786" s="1386">
        <v>1300</v>
      </c>
      <c r="O786" s="1401">
        <v>12</v>
      </c>
      <c r="P786" s="1387">
        <v>1584</v>
      </c>
      <c r="Q786" s="1401">
        <v>12</v>
      </c>
      <c r="R786" s="1387">
        <v>1980</v>
      </c>
      <c r="S786" s="1401">
        <v>12</v>
      </c>
      <c r="T786" s="1387">
        <v>2376</v>
      </c>
      <c r="U786" s="1401">
        <v>12</v>
      </c>
      <c r="V786" s="1387">
        <v>2376</v>
      </c>
      <c r="W786" s="1387"/>
      <c r="X786" s="1402"/>
      <c r="Y786" s="209" t="s">
        <v>493</v>
      </c>
    </row>
    <row r="787" spans="2:25" s="210" customFormat="1" ht="38.25" x14ac:dyDescent="0.25">
      <c r="B787" s="2082"/>
      <c r="C787" s="1382"/>
      <c r="D787" s="1382"/>
      <c r="E787" s="1382"/>
      <c r="F787" s="1382"/>
      <c r="G787" s="1383" t="s">
        <v>126</v>
      </c>
      <c r="H787" s="1383" t="s">
        <v>455</v>
      </c>
      <c r="I787" s="1384" t="s">
        <v>40</v>
      </c>
      <c r="J787" s="1385"/>
      <c r="K787" s="1401">
        <v>12</v>
      </c>
      <c r="L787" s="1386">
        <v>25000</v>
      </c>
      <c r="M787" s="1401">
        <v>12</v>
      </c>
      <c r="N787" s="1386">
        <v>25000</v>
      </c>
      <c r="O787" s="1401">
        <v>12</v>
      </c>
      <c r="P787" s="1387">
        <v>36000</v>
      </c>
      <c r="Q787" s="1401">
        <v>12</v>
      </c>
      <c r="R787" s="1387">
        <v>43200</v>
      </c>
      <c r="S787" s="1401">
        <v>12</v>
      </c>
      <c r="T787" s="1387">
        <v>51840</v>
      </c>
      <c r="U787" s="1401">
        <v>12</v>
      </c>
      <c r="V787" s="1387">
        <v>51840</v>
      </c>
      <c r="W787" s="1387"/>
      <c r="X787" s="1402"/>
      <c r="Y787" s="209" t="s">
        <v>493</v>
      </c>
    </row>
    <row r="788" spans="2:25" s="210" customFormat="1" ht="89.25" x14ac:dyDescent="0.25">
      <c r="B788" s="2082"/>
      <c r="C788" s="1382"/>
      <c r="D788" s="1382"/>
      <c r="E788" s="1382"/>
      <c r="F788" s="1382"/>
      <c r="G788" s="1383" t="s">
        <v>43</v>
      </c>
      <c r="H788" s="1383" t="s">
        <v>456</v>
      </c>
      <c r="I788" s="1384" t="s">
        <v>40</v>
      </c>
      <c r="J788" s="1385"/>
      <c r="K788" s="1401">
        <v>12</v>
      </c>
      <c r="L788" s="1386">
        <v>149944.1</v>
      </c>
      <c r="M788" s="1401">
        <v>12</v>
      </c>
      <c r="N788" s="1386">
        <v>149944.1</v>
      </c>
      <c r="O788" s="1401">
        <v>12</v>
      </c>
      <c r="P788" s="1387">
        <v>196887.67999999999</v>
      </c>
      <c r="Q788" s="1401">
        <v>12</v>
      </c>
      <c r="R788" s="1387">
        <v>216576.4</v>
      </c>
      <c r="S788" s="1401">
        <v>12</v>
      </c>
      <c r="T788" s="1387">
        <v>238234.04</v>
      </c>
      <c r="U788" s="1401">
        <v>12</v>
      </c>
      <c r="V788" s="1387">
        <v>238234.04</v>
      </c>
      <c r="W788" s="1387"/>
      <c r="X788" s="1402"/>
      <c r="Y788" s="209" t="s">
        <v>493</v>
      </c>
    </row>
    <row r="789" spans="2:25" s="210" customFormat="1" ht="51" x14ac:dyDescent="0.25">
      <c r="B789" s="2082"/>
      <c r="C789" s="1382"/>
      <c r="D789" s="1382"/>
      <c r="E789" s="1382"/>
      <c r="F789" s="1382"/>
      <c r="G789" s="1383" t="s">
        <v>45</v>
      </c>
      <c r="H789" s="1383" t="s">
        <v>457</v>
      </c>
      <c r="I789" s="1384" t="s">
        <v>40</v>
      </c>
      <c r="J789" s="1385"/>
      <c r="K789" s="1401">
        <v>12</v>
      </c>
      <c r="L789" s="1386">
        <v>30000</v>
      </c>
      <c r="M789" s="1401">
        <v>12</v>
      </c>
      <c r="N789" s="1386">
        <v>30000</v>
      </c>
      <c r="O789" s="1401">
        <v>12</v>
      </c>
      <c r="P789" s="1387">
        <v>39600</v>
      </c>
      <c r="Q789" s="1401">
        <v>12</v>
      </c>
      <c r="R789" s="1387">
        <v>43560</v>
      </c>
      <c r="S789" s="1401">
        <v>12</v>
      </c>
      <c r="T789" s="1387">
        <v>47916</v>
      </c>
      <c r="U789" s="1401">
        <v>12</v>
      </c>
      <c r="V789" s="1387">
        <v>47916</v>
      </c>
      <c r="W789" s="1387"/>
      <c r="X789" s="1402"/>
      <c r="Y789" s="209" t="s">
        <v>493</v>
      </c>
    </row>
    <row r="790" spans="2:25" s="210" customFormat="1" ht="38.25" x14ac:dyDescent="0.25">
      <c r="B790" s="2082"/>
      <c r="C790" s="1382"/>
      <c r="D790" s="1382"/>
      <c r="E790" s="1382"/>
      <c r="F790" s="1382"/>
      <c r="G790" s="1383" t="s">
        <v>47</v>
      </c>
      <c r="H790" s="1383" t="s">
        <v>458</v>
      </c>
      <c r="I790" s="1384" t="s">
        <v>40</v>
      </c>
      <c r="J790" s="1385"/>
      <c r="K790" s="1401">
        <v>12</v>
      </c>
      <c r="L790" s="1386">
        <v>6000</v>
      </c>
      <c r="M790" s="1401">
        <v>12</v>
      </c>
      <c r="N790" s="1386">
        <v>6000</v>
      </c>
      <c r="O790" s="1401">
        <v>12</v>
      </c>
      <c r="P790" s="1387">
        <v>8250</v>
      </c>
      <c r="Q790" s="1401">
        <v>12</v>
      </c>
      <c r="R790" s="1387">
        <v>9075</v>
      </c>
      <c r="S790" s="1401">
        <v>12</v>
      </c>
      <c r="T790" s="1387">
        <v>10000</v>
      </c>
      <c r="U790" s="1401">
        <v>12</v>
      </c>
      <c r="V790" s="1387">
        <v>10000</v>
      </c>
      <c r="W790" s="1387"/>
      <c r="X790" s="1402"/>
      <c r="Y790" s="209" t="s">
        <v>493</v>
      </c>
    </row>
    <row r="791" spans="2:25" s="210" customFormat="1" ht="38.25" x14ac:dyDescent="0.25">
      <c r="B791" s="2082"/>
      <c r="C791" s="1382"/>
      <c r="D791" s="1382"/>
      <c r="E791" s="1382"/>
      <c r="F791" s="1382"/>
      <c r="G791" s="1383" t="s">
        <v>459</v>
      </c>
      <c r="H791" s="1383" t="s">
        <v>460</v>
      </c>
      <c r="I791" s="1384" t="s">
        <v>40</v>
      </c>
      <c r="J791" s="1385"/>
      <c r="K791" s="1401">
        <v>12</v>
      </c>
      <c r="L791" s="1386">
        <v>20000</v>
      </c>
      <c r="M791" s="1401">
        <v>12</v>
      </c>
      <c r="N791" s="1386">
        <v>20000</v>
      </c>
      <c r="O791" s="1401">
        <v>12</v>
      </c>
      <c r="P791" s="1387">
        <v>25400</v>
      </c>
      <c r="Q791" s="1401">
        <v>12</v>
      </c>
      <c r="R791" s="1387">
        <v>27940</v>
      </c>
      <c r="S791" s="1401">
        <v>12</v>
      </c>
      <c r="T791" s="1387">
        <v>20374</v>
      </c>
      <c r="U791" s="1401">
        <v>12</v>
      </c>
      <c r="V791" s="1387">
        <v>22400</v>
      </c>
      <c r="W791" s="1387"/>
      <c r="X791" s="1402"/>
      <c r="Y791" s="209" t="s">
        <v>493</v>
      </c>
    </row>
    <row r="792" spans="2:25" s="210" customFormat="1" ht="25.5" x14ac:dyDescent="0.25">
      <c r="B792" s="2082"/>
      <c r="C792" s="1382"/>
      <c r="D792" s="1382"/>
      <c r="E792" s="1382"/>
      <c r="F792" s="1382"/>
      <c r="G792" s="1383" t="s">
        <v>461</v>
      </c>
      <c r="H792" s="1383" t="s">
        <v>51</v>
      </c>
      <c r="I792" s="1384" t="s">
        <v>40</v>
      </c>
      <c r="J792" s="1385"/>
      <c r="K792" s="1401">
        <v>12</v>
      </c>
      <c r="L792" s="1386">
        <v>17000</v>
      </c>
      <c r="M792" s="1401">
        <v>12</v>
      </c>
      <c r="N792" s="1386">
        <v>17000</v>
      </c>
      <c r="O792" s="1401">
        <v>12</v>
      </c>
      <c r="P792" s="1387">
        <v>19000</v>
      </c>
      <c r="Q792" s="1401">
        <v>12</v>
      </c>
      <c r="R792" s="1387">
        <v>20900</v>
      </c>
      <c r="S792" s="1401">
        <v>12</v>
      </c>
      <c r="T792" s="1387">
        <v>22990</v>
      </c>
      <c r="U792" s="1401">
        <v>12</v>
      </c>
      <c r="V792" s="1387">
        <v>25280</v>
      </c>
      <c r="W792" s="1387"/>
      <c r="X792" s="1402"/>
      <c r="Y792" s="209" t="s">
        <v>493</v>
      </c>
    </row>
    <row r="793" spans="2:25" s="210" customFormat="1" ht="38.25" x14ac:dyDescent="0.25">
      <c r="B793" s="2082"/>
      <c r="C793" s="1382"/>
      <c r="D793" s="1382"/>
      <c r="E793" s="1382"/>
      <c r="F793" s="1382"/>
      <c r="G793" s="1383" t="s">
        <v>462</v>
      </c>
      <c r="H793" s="1383" t="s">
        <v>463</v>
      </c>
      <c r="I793" s="1384" t="s">
        <v>40</v>
      </c>
      <c r="J793" s="1385"/>
      <c r="K793" s="1401">
        <v>12</v>
      </c>
      <c r="L793" s="1386">
        <v>9000</v>
      </c>
      <c r="M793" s="1401">
        <v>12</v>
      </c>
      <c r="N793" s="1386">
        <v>9000</v>
      </c>
      <c r="O793" s="1401">
        <v>12</v>
      </c>
      <c r="P793" s="1387">
        <v>10000</v>
      </c>
      <c r="Q793" s="1401">
        <v>12</v>
      </c>
      <c r="R793" s="1387">
        <v>11000</v>
      </c>
      <c r="S793" s="1401">
        <v>12</v>
      </c>
      <c r="T793" s="1387">
        <v>12100</v>
      </c>
      <c r="U793" s="1401">
        <v>12</v>
      </c>
      <c r="V793" s="1387">
        <v>13000</v>
      </c>
      <c r="W793" s="1387"/>
      <c r="X793" s="1402"/>
      <c r="Y793" s="209" t="s">
        <v>493</v>
      </c>
    </row>
    <row r="794" spans="2:25" s="210" customFormat="1" ht="76.5" x14ac:dyDescent="0.25">
      <c r="B794" s="2082"/>
      <c r="C794" s="1382"/>
      <c r="D794" s="1382"/>
      <c r="E794" s="1382"/>
      <c r="F794" s="1382"/>
      <c r="G794" s="1383" t="s">
        <v>54</v>
      </c>
      <c r="H794" s="1383" t="s">
        <v>464</v>
      </c>
      <c r="I794" s="1384" t="s">
        <v>40</v>
      </c>
      <c r="J794" s="1385"/>
      <c r="K794" s="1401">
        <v>12</v>
      </c>
      <c r="L794" s="1386">
        <v>7000</v>
      </c>
      <c r="M794" s="1401">
        <v>12</v>
      </c>
      <c r="N794" s="1386">
        <v>7000</v>
      </c>
      <c r="O794" s="1401">
        <v>12</v>
      </c>
      <c r="P794" s="1387">
        <v>8000</v>
      </c>
      <c r="Q794" s="1401">
        <v>12</v>
      </c>
      <c r="R794" s="1387">
        <v>8800</v>
      </c>
      <c r="S794" s="1401">
        <v>12</v>
      </c>
      <c r="T794" s="1387">
        <v>9700</v>
      </c>
      <c r="U794" s="1401">
        <v>12</v>
      </c>
      <c r="V794" s="1387">
        <v>10600</v>
      </c>
      <c r="W794" s="1387"/>
      <c r="X794" s="1402"/>
      <c r="Y794" s="209" t="s">
        <v>493</v>
      </c>
    </row>
    <row r="795" spans="2:25" s="210" customFormat="1" ht="63.75" x14ac:dyDescent="0.25">
      <c r="B795" s="2082"/>
      <c r="C795" s="1382"/>
      <c r="D795" s="1382"/>
      <c r="E795" s="1382"/>
      <c r="F795" s="1382"/>
      <c r="G795" s="1383" t="s">
        <v>465</v>
      </c>
      <c r="H795" s="1383" t="s">
        <v>57</v>
      </c>
      <c r="I795" s="1384" t="s">
        <v>40</v>
      </c>
      <c r="J795" s="1385"/>
      <c r="K795" s="1401">
        <v>12</v>
      </c>
      <c r="L795" s="1386">
        <v>6000</v>
      </c>
      <c r="M795" s="1401">
        <v>12</v>
      </c>
      <c r="N795" s="1386">
        <v>6000</v>
      </c>
      <c r="O795" s="1401">
        <v>12</v>
      </c>
      <c r="P795" s="1387">
        <v>7000</v>
      </c>
      <c r="Q795" s="1401">
        <v>12</v>
      </c>
      <c r="R795" s="1387">
        <v>7700</v>
      </c>
      <c r="S795" s="1401">
        <v>12</v>
      </c>
      <c r="T795" s="1387">
        <v>8400</v>
      </c>
      <c r="U795" s="1401">
        <v>12</v>
      </c>
      <c r="V795" s="1387">
        <v>9200</v>
      </c>
      <c r="W795" s="1387"/>
      <c r="X795" s="1402"/>
      <c r="Y795" s="209" t="s">
        <v>493</v>
      </c>
    </row>
    <row r="796" spans="2:25" s="210" customFormat="1" ht="63.75" x14ac:dyDescent="0.25">
      <c r="B796" s="2082"/>
      <c r="C796" s="1382"/>
      <c r="D796" s="1382"/>
      <c r="E796" s="1382"/>
      <c r="F796" s="1382"/>
      <c r="G796" s="1383" t="s">
        <v>58</v>
      </c>
      <c r="H796" s="1383" t="s">
        <v>466</v>
      </c>
      <c r="I796" s="1384" t="s">
        <v>40</v>
      </c>
      <c r="J796" s="1385"/>
      <c r="K796" s="1401">
        <v>12</v>
      </c>
      <c r="L796" s="1386">
        <v>28000</v>
      </c>
      <c r="M796" s="1401">
        <v>12</v>
      </c>
      <c r="N796" s="1386">
        <v>28000</v>
      </c>
      <c r="O796" s="1401">
        <v>12</v>
      </c>
      <c r="P796" s="1387">
        <v>31000</v>
      </c>
      <c r="Q796" s="1401">
        <v>12</v>
      </c>
      <c r="R796" s="1387">
        <v>34100</v>
      </c>
      <c r="S796" s="1401">
        <v>12</v>
      </c>
      <c r="T796" s="1387">
        <v>37500</v>
      </c>
      <c r="U796" s="1401">
        <v>12</v>
      </c>
      <c r="V796" s="1387">
        <v>41000</v>
      </c>
      <c r="W796" s="1387"/>
      <c r="X796" s="1402"/>
      <c r="Y796" s="209" t="s">
        <v>493</v>
      </c>
    </row>
    <row r="797" spans="2:25" s="210" customFormat="1" ht="76.5" x14ac:dyDescent="0.25">
      <c r="B797" s="2082"/>
      <c r="C797" s="1382"/>
      <c r="D797" s="1382"/>
      <c r="E797" s="1382"/>
      <c r="F797" s="1382"/>
      <c r="G797" s="1383" t="s">
        <v>398</v>
      </c>
      <c r="H797" s="1383" t="s">
        <v>467</v>
      </c>
      <c r="I797" s="1384" t="s">
        <v>40</v>
      </c>
      <c r="J797" s="1385"/>
      <c r="K797" s="1401">
        <v>12</v>
      </c>
      <c r="L797" s="1386">
        <v>70000</v>
      </c>
      <c r="M797" s="1401">
        <v>12</v>
      </c>
      <c r="N797" s="1386">
        <v>70000</v>
      </c>
      <c r="O797" s="1401">
        <v>12</v>
      </c>
      <c r="P797" s="1387">
        <v>77000</v>
      </c>
      <c r="Q797" s="1401">
        <v>12</v>
      </c>
      <c r="R797" s="1387">
        <v>84700</v>
      </c>
      <c r="S797" s="1401">
        <v>12</v>
      </c>
      <c r="T797" s="1387">
        <v>93000</v>
      </c>
      <c r="U797" s="1401">
        <v>12</v>
      </c>
      <c r="V797" s="1387">
        <v>102000</v>
      </c>
      <c r="W797" s="1387"/>
      <c r="X797" s="1402"/>
      <c r="Y797" s="209" t="s">
        <v>493</v>
      </c>
    </row>
    <row r="798" spans="2:25" s="210" customFormat="1" ht="51" x14ac:dyDescent="0.25">
      <c r="B798" s="2082"/>
      <c r="C798" s="1382"/>
      <c r="D798" s="1382"/>
      <c r="E798" s="1382"/>
      <c r="F798" s="1382"/>
      <c r="G798" s="1383" t="s">
        <v>468</v>
      </c>
      <c r="H798" s="1383" t="s">
        <v>469</v>
      </c>
      <c r="I798" s="1384" t="s">
        <v>40</v>
      </c>
      <c r="J798" s="1385"/>
      <c r="K798" s="1401">
        <v>12</v>
      </c>
      <c r="L798" s="1386">
        <v>105300</v>
      </c>
      <c r="M798" s="1401">
        <v>12</v>
      </c>
      <c r="N798" s="1386">
        <v>115200</v>
      </c>
      <c r="O798" s="1401">
        <v>12</v>
      </c>
      <c r="P798" s="1387">
        <v>127000</v>
      </c>
      <c r="Q798" s="1401">
        <v>12</v>
      </c>
      <c r="R798" s="1387">
        <v>139700</v>
      </c>
      <c r="S798" s="1401">
        <v>12</v>
      </c>
      <c r="T798" s="1387">
        <v>154000</v>
      </c>
      <c r="U798" s="1401">
        <v>12</v>
      </c>
      <c r="V798" s="1387">
        <v>169400</v>
      </c>
      <c r="W798" s="1387"/>
      <c r="X798" s="1402"/>
      <c r="Y798" s="209" t="s">
        <v>493</v>
      </c>
    </row>
    <row r="799" spans="2:25" s="210" customFormat="1" ht="76.5" x14ac:dyDescent="0.25">
      <c r="B799" s="2082"/>
      <c r="C799" s="1382"/>
      <c r="D799" s="1382"/>
      <c r="E799" s="1382"/>
      <c r="F799" s="1382"/>
      <c r="G799" s="1383" t="s">
        <v>399</v>
      </c>
      <c r="H799" s="1383" t="s">
        <v>470</v>
      </c>
      <c r="I799" s="1384" t="s">
        <v>40</v>
      </c>
      <c r="J799" s="1385"/>
      <c r="K799" s="1401">
        <v>12</v>
      </c>
      <c r="L799" s="1386">
        <v>31000</v>
      </c>
      <c r="M799" s="1401">
        <v>12</v>
      </c>
      <c r="N799" s="1386">
        <v>20000</v>
      </c>
      <c r="O799" s="1401">
        <v>12</v>
      </c>
      <c r="P799" s="1387">
        <v>22000</v>
      </c>
      <c r="Q799" s="1401">
        <v>12</v>
      </c>
      <c r="R799" s="1387">
        <v>24200</v>
      </c>
      <c r="S799" s="1401">
        <v>12</v>
      </c>
      <c r="T799" s="1387">
        <v>27000</v>
      </c>
      <c r="U799" s="1401">
        <v>12</v>
      </c>
      <c r="V799" s="1387">
        <v>29700</v>
      </c>
      <c r="W799" s="1387"/>
      <c r="X799" s="1402"/>
      <c r="Y799" s="209" t="s">
        <v>493</v>
      </c>
    </row>
    <row r="800" spans="2:25" s="210" customFormat="1" ht="51" x14ac:dyDescent="0.25">
      <c r="B800" s="2082"/>
      <c r="C800" s="1382"/>
      <c r="D800" s="1382"/>
      <c r="E800" s="1382"/>
      <c r="F800" s="1382"/>
      <c r="G800" s="1383" t="s">
        <v>471</v>
      </c>
      <c r="H800" s="1383" t="s">
        <v>249</v>
      </c>
      <c r="I800" s="1384" t="s">
        <v>19</v>
      </c>
      <c r="J800" s="1385">
        <v>100</v>
      </c>
      <c r="K800" s="1383">
        <v>20</v>
      </c>
      <c r="L800" s="1386">
        <f>SUM(L801:L807)</f>
        <v>656500</v>
      </c>
      <c r="M800" s="1383">
        <v>20</v>
      </c>
      <c r="N800" s="1386">
        <f>SUM(N801:N807)</f>
        <v>1029800</v>
      </c>
      <c r="O800" s="1383">
        <v>15</v>
      </c>
      <c r="P800" s="1386">
        <f>SUM(P801:P807)</f>
        <v>1096780</v>
      </c>
      <c r="Q800" s="1383">
        <v>15</v>
      </c>
      <c r="R800" s="1386">
        <f>SUM(R801:R807)</f>
        <v>344958</v>
      </c>
      <c r="S800" s="1383">
        <v>15</v>
      </c>
      <c r="T800" s="1386">
        <f>SUM(T801:T807)</f>
        <v>1139453.8</v>
      </c>
      <c r="U800" s="1383">
        <v>15</v>
      </c>
      <c r="V800" s="1386">
        <f>SUM(V801:V807)</f>
        <v>175399.18</v>
      </c>
      <c r="W800" s="1383">
        <v>100</v>
      </c>
      <c r="X800" s="1388"/>
      <c r="Y800" s="209" t="s">
        <v>493</v>
      </c>
    </row>
    <row r="801" spans="2:25" s="210" customFormat="1" ht="51" x14ac:dyDescent="0.25">
      <c r="B801" s="2082"/>
      <c r="C801" s="1382"/>
      <c r="D801" s="1382"/>
      <c r="E801" s="1382"/>
      <c r="F801" s="1382"/>
      <c r="G801" s="1403" t="s">
        <v>472</v>
      </c>
      <c r="H801" s="1383" t="s">
        <v>473</v>
      </c>
      <c r="I801" s="1384" t="s">
        <v>75</v>
      </c>
      <c r="J801" s="1385"/>
      <c r="K801" s="1383">
        <v>4</v>
      </c>
      <c r="L801" s="1386">
        <v>90000</v>
      </c>
      <c r="M801" s="1383"/>
      <c r="N801" s="1386">
        <v>0</v>
      </c>
      <c r="O801" s="1383">
        <v>4</v>
      </c>
      <c r="P801" s="1387">
        <v>100000</v>
      </c>
      <c r="Q801" s="1383"/>
      <c r="R801" s="1387">
        <v>0</v>
      </c>
      <c r="S801" s="1383">
        <v>5</v>
      </c>
      <c r="T801" s="1387">
        <v>130000</v>
      </c>
      <c r="U801" s="1383"/>
      <c r="V801" s="1387">
        <v>0</v>
      </c>
      <c r="W801" s="1387"/>
      <c r="X801" s="1402"/>
      <c r="Y801" s="209" t="s">
        <v>493</v>
      </c>
    </row>
    <row r="802" spans="2:25" s="210" customFormat="1" ht="51" x14ac:dyDescent="0.25">
      <c r="B802" s="2082"/>
      <c r="C802" s="1382"/>
      <c r="D802" s="1382"/>
      <c r="E802" s="1382"/>
      <c r="F802" s="1382"/>
      <c r="G802" s="1400"/>
      <c r="H802" s="1383" t="s">
        <v>474</v>
      </c>
      <c r="I802" s="1384" t="s">
        <v>75</v>
      </c>
      <c r="J802" s="1385"/>
      <c r="K802" s="1383">
        <v>2</v>
      </c>
      <c r="L802" s="1386">
        <v>400000</v>
      </c>
      <c r="M802" s="1383">
        <v>2</v>
      </c>
      <c r="N802" s="1386">
        <v>600000</v>
      </c>
      <c r="O802" s="1383">
        <v>2</v>
      </c>
      <c r="P802" s="1387">
        <v>500000</v>
      </c>
      <c r="Q802" s="1383"/>
      <c r="R802" s="1387">
        <v>0</v>
      </c>
      <c r="S802" s="1397">
        <v>2</v>
      </c>
      <c r="T802" s="1387">
        <v>750000</v>
      </c>
      <c r="U802" s="1397" t="s">
        <v>313</v>
      </c>
      <c r="V802" s="1387">
        <v>0</v>
      </c>
      <c r="W802" s="1387"/>
      <c r="X802" s="1402"/>
      <c r="Y802" s="209" t="s">
        <v>493</v>
      </c>
    </row>
    <row r="803" spans="2:25" s="210" customFormat="1" ht="51" x14ac:dyDescent="0.25">
      <c r="B803" s="2082"/>
      <c r="C803" s="1382"/>
      <c r="D803" s="1382"/>
      <c r="E803" s="1382"/>
      <c r="F803" s="1382"/>
      <c r="G803" s="1383" t="s">
        <v>475</v>
      </c>
      <c r="H803" s="1383" t="s">
        <v>476</v>
      </c>
      <c r="I803" s="1384" t="s">
        <v>75</v>
      </c>
      <c r="J803" s="1385"/>
      <c r="K803" s="1383">
        <v>6</v>
      </c>
      <c r="L803" s="1386">
        <v>35000</v>
      </c>
      <c r="M803" s="1383">
        <v>35</v>
      </c>
      <c r="N803" s="1386">
        <v>130000</v>
      </c>
      <c r="O803" s="1383">
        <v>25</v>
      </c>
      <c r="P803" s="1387">
        <v>275000</v>
      </c>
      <c r="Q803" s="1383"/>
      <c r="R803" s="1387">
        <v>0</v>
      </c>
      <c r="S803" s="1383">
        <v>13</v>
      </c>
      <c r="T803" s="1387">
        <v>100000</v>
      </c>
      <c r="U803" s="1383"/>
      <c r="V803" s="1387">
        <v>0</v>
      </c>
      <c r="W803" s="1387"/>
      <c r="X803" s="1402"/>
      <c r="Y803" s="209" t="s">
        <v>493</v>
      </c>
    </row>
    <row r="804" spans="2:25" s="210" customFormat="1" ht="38.25" x14ac:dyDescent="0.25">
      <c r="B804" s="2082"/>
      <c r="C804" s="1382"/>
      <c r="D804" s="1382"/>
      <c r="E804" s="1382"/>
      <c r="F804" s="1382"/>
      <c r="G804" s="1383" t="s">
        <v>477</v>
      </c>
      <c r="H804" s="1383" t="s">
        <v>478</v>
      </c>
      <c r="I804" s="1384" t="s">
        <v>69</v>
      </c>
      <c r="J804" s="1385"/>
      <c r="K804" s="1383"/>
      <c r="L804" s="1386">
        <v>0</v>
      </c>
      <c r="M804" s="1383">
        <v>35</v>
      </c>
      <c r="N804" s="1386">
        <v>80000</v>
      </c>
      <c r="O804" s="1383"/>
      <c r="P804" s="1387">
        <v>0</v>
      </c>
      <c r="Q804" s="1383">
        <v>35</v>
      </c>
      <c r="R804" s="1387">
        <v>90000</v>
      </c>
      <c r="S804" s="1383"/>
      <c r="T804" s="1387">
        <v>0</v>
      </c>
      <c r="U804" s="1383"/>
      <c r="V804" s="1387">
        <v>0</v>
      </c>
      <c r="W804" s="1387"/>
      <c r="X804" s="1402"/>
      <c r="Y804" s="209" t="s">
        <v>493</v>
      </c>
    </row>
    <row r="805" spans="2:25" s="210" customFormat="1" ht="25.5" x14ac:dyDescent="0.25">
      <c r="B805" s="2082"/>
      <c r="C805" s="1382"/>
      <c r="D805" s="1382"/>
      <c r="E805" s="1382"/>
      <c r="F805" s="1382"/>
      <c r="G805" s="1383" t="s">
        <v>158</v>
      </c>
      <c r="H805" s="1383" t="s">
        <v>479</v>
      </c>
      <c r="I805" s="1384" t="s">
        <v>75</v>
      </c>
      <c r="J805" s="1385"/>
      <c r="K805" s="1383">
        <v>54</v>
      </c>
      <c r="L805" s="1386">
        <v>30000</v>
      </c>
      <c r="M805" s="1383">
        <v>50</v>
      </c>
      <c r="N805" s="1386">
        <v>100000</v>
      </c>
      <c r="O805" s="1383"/>
      <c r="P805" s="1387">
        <v>90000</v>
      </c>
      <c r="Q805" s="1383">
        <v>50</v>
      </c>
      <c r="R805" s="1387">
        <v>110000</v>
      </c>
      <c r="S805" s="1383"/>
      <c r="T805" s="1387">
        <v>0</v>
      </c>
      <c r="U805" s="1383"/>
      <c r="V805" s="1387">
        <v>0</v>
      </c>
      <c r="W805" s="1387"/>
      <c r="X805" s="1402"/>
      <c r="Y805" s="209" t="s">
        <v>493</v>
      </c>
    </row>
    <row r="806" spans="2:25" s="210" customFormat="1" ht="38.25" x14ac:dyDescent="0.25">
      <c r="B806" s="2082"/>
      <c r="C806" s="1382"/>
      <c r="D806" s="1382"/>
      <c r="E806" s="1382"/>
      <c r="F806" s="1382"/>
      <c r="G806" s="1383" t="s">
        <v>164</v>
      </c>
      <c r="H806" s="1383" t="s">
        <v>480</v>
      </c>
      <c r="I806" s="1384" t="s">
        <v>40</v>
      </c>
      <c r="J806" s="1385"/>
      <c r="K806" s="1383">
        <v>12</v>
      </c>
      <c r="L806" s="1386">
        <v>10000</v>
      </c>
      <c r="M806" s="1383">
        <v>12</v>
      </c>
      <c r="N806" s="1386">
        <v>10000</v>
      </c>
      <c r="O806" s="1383">
        <v>12</v>
      </c>
      <c r="P806" s="1387">
        <v>11000</v>
      </c>
      <c r="Q806" s="1383">
        <v>12</v>
      </c>
      <c r="R806" s="1387">
        <v>12100</v>
      </c>
      <c r="S806" s="1383">
        <v>12</v>
      </c>
      <c r="T806" s="1387">
        <v>13310</v>
      </c>
      <c r="U806" s="1383">
        <v>12</v>
      </c>
      <c r="V806" s="1387">
        <v>14641</v>
      </c>
      <c r="W806" s="1387"/>
      <c r="X806" s="1402"/>
      <c r="Y806" s="209" t="s">
        <v>493</v>
      </c>
    </row>
    <row r="807" spans="2:25" s="210" customFormat="1" ht="38.25" x14ac:dyDescent="0.25">
      <c r="B807" s="2082"/>
      <c r="C807" s="1382"/>
      <c r="D807" s="1382"/>
      <c r="E807" s="1382"/>
      <c r="F807" s="1382"/>
      <c r="G807" s="1383" t="s">
        <v>485</v>
      </c>
      <c r="H807" s="1383" t="s">
        <v>486</v>
      </c>
      <c r="I807" s="1384" t="s">
        <v>487</v>
      </c>
      <c r="J807" s="1385"/>
      <c r="K807" s="1383">
        <v>142</v>
      </c>
      <c r="L807" s="1386">
        <v>91500</v>
      </c>
      <c r="M807" s="1383">
        <v>152</v>
      </c>
      <c r="N807" s="1386">
        <v>109800</v>
      </c>
      <c r="O807" s="1383">
        <v>155</v>
      </c>
      <c r="P807" s="1387">
        <v>120780</v>
      </c>
      <c r="Q807" s="1383">
        <v>155</v>
      </c>
      <c r="R807" s="1387">
        <v>132858</v>
      </c>
      <c r="S807" s="1383">
        <v>155</v>
      </c>
      <c r="T807" s="1387">
        <v>146143.79999999999</v>
      </c>
      <c r="U807" s="1383">
        <v>155</v>
      </c>
      <c r="V807" s="1387">
        <v>160758.18</v>
      </c>
      <c r="W807" s="1387"/>
      <c r="X807" s="1402"/>
      <c r="Y807" s="209" t="s">
        <v>493</v>
      </c>
    </row>
    <row r="808" spans="2:25" s="210" customFormat="1" ht="63.75" x14ac:dyDescent="0.25">
      <c r="B808" s="2082"/>
      <c r="C808" s="1382"/>
      <c r="D808" s="1382"/>
      <c r="E808" s="1382"/>
      <c r="F808" s="1382"/>
      <c r="G808" s="1383" t="s">
        <v>77</v>
      </c>
      <c r="H808" s="1383" t="s">
        <v>78</v>
      </c>
      <c r="I808" s="1384" t="s">
        <v>79</v>
      </c>
      <c r="J808" s="1385">
        <v>25</v>
      </c>
      <c r="K808" s="1383">
        <v>6</v>
      </c>
      <c r="L808" s="1386">
        <f>SUM(L809)</f>
        <v>20000</v>
      </c>
      <c r="M808" s="1383">
        <v>5</v>
      </c>
      <c r="N808" s="1386">
        <f>SUM(N809)</f>
        <v>20000</v>
      </c>
      <c r="O808" s="1383">
        <v>5</v>
      </c>
      <c r="P808" s="1386">
        <f>SUM(P809)</f>
        <v>20000</v>
      </c>
      <c r="Q808" s="1383">
        <v>5</v>
      </c>
      <c r="R808" s="1386">
        <f>SUM(R809)</f>
        <v>20000</v>
      </c>
      <c r="S808" s="1383">
        <v>5</v>
      </c>
      <c r="T808" s="1386">
        <f>SUM(T809)</f>
        <v>20000</v>
      </c>
      <c r="U808" s="1383">
        <v>5</v>
      </c>
      <c r="V808" s="1386">
        <f>SUM(V809)</f>
        <v>20000</v>
      </c>
      <c r="W808" s="1387">
        <v>31</v>
      </c>
      <c r="X808" s="1402"/>
      <c r="Y808" s="209" t="s">
        <v>493</v>
      </c>
    </row>
    <row r="809" spans="2:25" s="210" customFormat="1" ht="204" x14ac:dyDescent="0.25">
      <c r="B809" s="2082"/>
      <c r="C809" s="1382"/>
      <c r="D809" s="1382"/>
      <c r="E809" s="1382"/>
      <c r="F809" s="1382"/>
      <c r="G809" s="1383" t="s">
        <v>481</v>
      </c>
      <c r="H809" s="1383" t="s">
        <v>482</v>
      </c>
      <c r="I809" s="1384" t="s">
        <v>79</v>
      </c>
      <c r="J809" s="1385"/>
      <c r="K809" s="1383">
        <v>6</v>
      </c>
      <c r="L809" s="1386">
        <v>20000</v>
      </c>
      <c r="M809" s="1383">
        <v>5</v>
      </c>
      <c r="N809" s="1386">
        <v>20000</v>
      </c>
      <c r="O809" s="1383">
        <v>5</v>
      </c>
      <c r="P809" s="1387">
        <v>20000</v>
      </c>
      <c r="Q809" s="1383">
        <v>5</v>
      </c>
      <c r="R809" s="1387">
        <v>20000</v>
      </c>
      <c r="S809" s="1383">
        <v>5</v>
      </c>
      <c r="T809" s="1387">
        <v>20000</v>
      </c>
      <c r="U809" s="1383">
        <v>5</v>
      </c>
      <c r="V809" s="1387">
        <v>20000</v>
      </c>
      <c r="W809" s="1383"/>
      <c r="X809" s="1388"/>
      <c r="Y809" s="209" t="s">
        <v>493</v>
      </c>
    </row>
    <row r="810" spans="2:25" s="210" customFormat="1" ht="38.25" x14ac:dyDescent="0.25">
      <c r="B810" s="2082"/>
      <c r="C810" s="1382"/>
      <c r="D810" s="1382"/>
      <c r="E810" s="1382"/>
      <c r="F810" s="1382"/>
      <c r="G810" s="1383" t="s">
        <v>167</v>
      </c>
      <c r="H810" s="1383" t="s">
        <v>3141</v>
      </c>
      <c r="I810" s="1384" t="s">
        <v>79</v>
      </c>
      <c r="J810" s="1385">
        <v>0</v>
      </c>
      <c r="K810" s="1383">
        <v>1</v>
      </c>
      <c r="L810" s="1386">
        <f>SUM(L811)</f>
        <v>10000</v>
      </c>
      <c r="M810" s="1383">
        <v>1</v>
      </c>
      <c r="N810" s="1386">
        <f>SUM(N811)</f>
        <v>10000</v>
      </c>
      <c r="O810" s="1383">
        <v>1</v>
      </c>
      <c r="P810" s="1386">
        <f>SUM(P811)</f>
        <v>11000</v>
      </c>
      <c r="Q810" s="1383">
        <v>1</v>
      </c>
      <c r="R810" s="1386">
        <f>SUM(R811)</f>
        <v>12100</v>
      </c>
      <c r="S810" s="1383">
        <v>1</v>
      </c>
      <c r="T810" s="1386">
        <f>SUM(T811)</f>
        <v>13310</v>
      </c>
      <c r="U810" s="1383">
        <v>1</v>
      </c>
      <c r="V810" s="1386">
        <f>SUM(V811)</f>
        <v>14641</v>
      </c>
      <c r="W810" s="1383">
        <v>6</v>
      </c>
      <c r="X810" s="1388"/>
      <c r="Y810" s="209" t="s">
        <v>493</v>
      </c>
    </row>
    <row r="811" spans="2:25" s="210" customFormat="1" ht="63.75" x14ac:dyDescent="0.25">
      <c r="B811" s="2082"/>
      <c r="C811" s="1382"/>
      <c r="D811" s="1382"/>
      <c r="E811" s="1382"/>
      <c r="F811" s="1382"/>
      <c r="G811" s="1383" t="s">
        <v>483</v>
      </c>
      <c r="H811" s="1383" t="s">
        <v>484</v>
      </c>
      <c r="I811" s="1384" t="s">
        <v>79</v>
      </c>
      <c r="J811" s="1385"/>
      <c r="K811" s="1383">
        <v>1</v>
      </c>
      <c r="L811" s="1387">
        <v>10000</v>
      </c>
      <c r="M811" s="1383">
        <v>1</v>
      </c>
      <c r="N811" s="1387">
        <v>10000</v>
      </c>
      <c r="O811" s="1383">
        <v>1</v>
      </c>
      <c r="P811" s="1387">
        <v>11000</v>
      </c>
      <c r="Q811" s="1383">
        <v>1</v>
      </c>
      <c r="R811" s="1387">
        <v>12100</v>
      </c>
      <c r="S811" s="1383">
        <v>1</v>
      </c>
      <c r="T811" s="1387">
        <v>13310</v>
      </c>
      <c r="U811" s="1383">
        <v>1</v>
      </c>
      <c r="V811" s="1387">
        <v>14641</v>
      </c>
      <c r="W811" s="1383"/>
      <c r="X811" s="1388"/>
      <c r="Y811" s="209" t="s">
        <v>493</v>
      </c>
    </row>
    <row r="812" spans="2:25" s="210" customFormat="1" ht="38.25" x14ac:dyDescent="0.25">
      <c r="B812" s="2082"/>
      <c r="C812" s="1382"/>
      <c r="D812" s="1382"/>
      <c r="E812" s="1382"/>
      <c r="F812" s="1382"/>
      <c r="G812" s="1383" t="s">
        <v>488</v>
      </c>
      <c r="H812" s="1383" t="s">
        <v>3217</v>
      </c>
      <c r="I812" s="1384" t="s">
        <v>427</v>
      </c>
      <c r="J812" s="1385">
        <v>0</v>
      </c>
      <c r="K812" s="1383">
        <v>125</v>
      </c>
      <c r="L812" s="1386">
        <f>SUM(L813:L814)</f>
        <v>116500</v>
      </c>
      <c r="M812" s="1383">
        <v>145</v>
      </c>
      <c r="N812" s="1386">
        <f>SUM(N813:N814)</f>
        <v>154999.65</v>
      </c>
      <c r="O812" s="1383">
        <v>185</v>
      </c>
      <c r="P812" s="1386">
        <f>SUM(P813:P814)</f>
        <v>194200</v>
      </c>
      <c r="Q812" s="1387">
        <v>185</v>
      </c>
      <c r="R812" s="1386">
        <f>SUM(R813:R814)</f>
        <v>213620</v>
      </c>
      <c r="S812" s="1387">
        <v>145</v>
      </c>
      <c r="T812" s="1386">
        <f>SUM(T813:T814)</f>
        <v>234382</v>
      </c>
      <c r="U812" s="1383">
        <v>185</v>
      </c>
      <c r="V812" s="1386">
        <f>SUM(V813:V814)</f>
        <v>250620</v>
      </c>
      <c r="W812" s="1383">
        <v>185</v>
      </c>
      <c r="X812" s="1388"/>
      <c r="Y812" s="209" t="s">
        <v>493</v>
      </c>
    </row>
    <row r="813" spans="2:25" s="210" customFormat="1" ht="216.75" x14ac:dyDescent="0.25">
      <c r="B813" s="2082"/>
      <c r="C813" s="1382"/>
      <c r="D813" s="1382"/>
      <c r="E813" s="1382"/>
      <c r="F813" s="1382"/>
      <c r="G813" s="1383" t="s">
        <v>489</v>
      </c>
      <c r="H813" s="1383" t="s">
        <v>490</v>
      </c>
      <c r="I813" s="1384" t="s">
        <v>427</v>
      </c>
      <c r="J813" s="1385"/>
      <c r="K813" s="1383">
        <v>85</v>
      </c>
      <c r="L813" s="1386">
        <v>86500</v>
      </c>
      <c r="M813" s="1383">
        <v>85</v>
      </c>
      <c r="N813" s="1386">
        <v>114999.65</v>
      </c>
      <c r="O813" s="1383">
        <v>85</v>
      </c>
      <c r="P813" s="1387">
        <v>134200</v>
      </c>
      <c r="Q813" s="1383">
        <v>85</v>
      </c>
      <c r="R813" s="1387">
        <v>147620</v>
      </c>
      <c r="S813" s="1383">
        <v>85</v>
      </c>
      <c r="T813" s="1387">
        <v>162382</v>
      </c>
      <c r="U813" s="1383">
        <v>85</v>
      </c>
      <c r="V813" s="1387">
        <v>178620</v>
      </c>
      <c r="W813" s="1387"/>
      <c r="X813" s="1402"/>
      <c r="Y813" s="209" t="s">
        <v>493</v>
      </c>
    </row>
    <row r="814" spans="2:25" s="210" customFormat="1" ht="102" x14ac:dyDescent="0.25">
      <c r="B814" s="2083"/>
      <c r="C814" s="1400"/>
      <c r="D814" s="1400"/>
      <c r="E814" s="1400"/>
      <c r="F814" s="1400"/>
      <c r="G814" s="1383" t="s">
        <v>491</v>
      </c>
      <c r="H814" s="1383" t="s">
        <v>492</v>
      </c>
      <c r="I814" s="1384" t="s">
        <v>427</v>
      </c>
      <c r="J814" s="1385"/>
      <c r="K814" s="1383">
        <v>40</v>
      </c>
      <c r="L814" s="1386">
        <v>30000</v>
      </c>
      <c r="M814" s="1383">
        <v>60</v>
      </c>
      <c r="N814" s="1386">
        <v>40000</v>
      </c>
      <c r="O814" s="1383">
        <v>100</v>
      </c>
      <c r="P814" s="1387">
        <v>60000</v>
      </c>
      <c r="Q814" s="1383">
        <v>100</v>
      </c>
      <c r="R814" s="1387">
        <v>66000</v>
      </c>
      <c r="S814" s="1383">
        <v>100</v>
      </c>
      <c r="T814" s="1387">
        <v>72000</v>
      </c>
      <c r="U814" s="1383">
        <v>100</v>
      </c>
      <c r="V814" s="1387">
        <v>72000</v>
      </c>
      <c r="W814" s="1387"/>
      <c r="X814" s="1402"/>
      <c r="Y814" s="209" t="s">
        <v>493</v>
      </c>
    </row>
    <row r="815" spans="2:25" s="210" customFormat="1" ht="13.5" thickBot="1" x14ac:dyDescent="0.3">
      <c r="B815" s="1572" t="s">
        <v>1815</v>
      </c>
      <c r="C815" s="1404"/>
      <c r="D815" s="1404"/>
      <c r="E815" s="1404"/>
      <c r="F815" s="1404"/>
      <c r="G815" s="1404"/>
      <c r="H815" s="1404"/>
      <c r="I815" s="1405"/>
      <c r="J815" s="1406"/>
      <c r="K815" s="1404"/>
      <c r="L815" s="1573">
        <f>SUM(L766:L814)/2</f>
        <v>4353393</v>
      </c>
      <c r="M815" s="1404"/>
      <c r="N815" s="1573">
        <f>SUM(N766:N814)/2</f>
        <v>5199021.54</v>
      </c>
      <c r="O815" s="1404"/>
      <c r="P815" s="1573">
        <f>SUM(P766:P814)/2</f>
        <v>6299533.3489999995</v>
      </c>
      <c r="Q815" s="1404"/>
      <c r="R815" s="1573">
        <f>SUM(R766:R814)/2</f>
        <v>8513737.2458999995</v>
      </c>
      <c r="S815" s="1404"/>
      <c r="T815" s="1573">
        <f>SUM(T766:T814)/2</f>
        <v>7162486.4704899993</v>
      </c>
      <c r="U815" s="1573">
        <v>180</v>
      </c>
      <c r="V815" s="1573">
        <f>SUM(V766:V814)/2</f>
        <v>6665997.913538998</v>
      </c>
      <c r="W815" s="1404"/>
      <c r="X815" s="1407"/>
      <c r="Y815" s="1408"/>
    </row>
    <row r="816" spans="2:25" s="210" customFormat="1" ht="13.5" thickTop="1" x14ac:dyDescent="0.25">
      <c r="B816" s="1574"/>
      <c r="C816" s="1409"/>
      <c r="D816" s="1409"/>
      <c r="E816" s="1409"/>
      <c r="F816" s="1409"/>
      <c r="G816" s="1409"/>
      <c r="H816" s="1409"/>
      <c r="I816" s="1410"/>
      <c r="J816" s="1411"/>
      <c r="K816" s="1409"/>
      <c r="L816" s="1575"/>
      <c r="M816" s="1409"/>
      <c r="N816" s="1575"/>
      <c r="O816" s="1409"/>
      <c r="P816" s="1575"/>
      <c r="Q816" s="1409"/>
      <c r="R816" s="1575"/>
      <c r="S816" s="1409"/>
      <c r="T816" s="1575"/>
      <c r="U816" s="1575"/>
      <c r="V816" s="1575"/>
      <c r="W816" s="1409"/>
      <c r="X816" s="1409"/>
      <c r="Y816" s="1409"/>
    </row>
    <row r="817" spans="2:25" s="210" customFormat="1" ht="13.5" thickBot="1" x14ac:dyDescent="0.3">
      <c r="B817" s="219" t="s">
        <v>497</v>
      </c>
      <c r="I817" s="1381"/>
      <c r="L817" s="875"/>
      <c r="N817" s="875"/>
      <c r="P817" s="875"/>
      <c r="R817" s="875"/>
      <c r="T817" s="875"/>
      <c r="V817" s="875"/>
    </row>
    <row r="818" spans="2:25" ht="13.5" thickTop="1" x14ac:dyDescent="0.25">
      <c r="B818" s="2045" t="s">
        <v>494</v>
      </c>
      <c r="C818" s="2040" t="s">
        <v>752</v>
      </c>
      <c r="D818" s="2040" t="s">
        <v>576</v>
      </c>
      <c r="E818" s="2040" t="s">
        <v>577</v>
      </c>
      <c r="F818" s="2040" t="s">
        <v>3127</v>
      </c>
      <c r="G818" s="2040" t="s">
        <v>3128</v>
      </c>
      <c r="H818" s="2040" t="s">
        <v>966</v>
      </c>
      <c r="I818" s="2040" t="s">
        <v>421</v>
      </c>
      <c r="J818" s="2055" t="s">
        <v>967</v>
      </c>
      <c r="K818" s="2053" t="s">
        <v>7</v>
      </c>
      <c r="L818" s="2054"/>
      <c r="M818" s="2054"/>
      <c r="N818" s="2054"/>
      <c r="O818" s="2054"/>
      <c r="P818" s="2054"/>
      <c r="Q818" s="2054"/>
      <c r="R818" s="2054"/>
      <c r="S818" s="2054"/>
      <c r="T818" s="2054"/>
      <c r="U818" s="2054"/>
      <c r="V818" s="2054"/>
      <c r="W818" s="2054"/>
      <c r="X818" s="2040" t="s">
        <v>653</v>
      </c>
      <c r="Y818" s="2049" t="s">
        <v>1147</v>
      </c>
    </row>
    <row r="819" spans="2:25" x14ac:dyDescent="0.25">
      <c r="B819" s="2046"/>
      <c r="C819" s="2041"/>
      <c r="D819" s="2041"/>
      <c r="E819" s="2041"/>
      <c r="F819" s="2041"/>
      <c r="G819" s="2041"/>
      <c r="H819" s="2041"/>
      <c r="I819" s="2041"/>
      <c r="J819" s="2052"/>
      <c r="K819" s="2051" t="s">
        <v>114</v>
      </c>
      <c r="L819" s="2038"/>
      <c r="M819" s="2051" t="s">
        <v>115</v>
      </c>
      <c r="N819" s="2038"/>
      <c r="O819" s="2051" t="s">
        <v>116</v>
      </c>
      <c r="P819" s="2038"/>
      <c r="Q819" s="2051" t="s">
        <v>117</v>
      </c>
      <c r="R819" s="2038"/>
      <c r="S819" s="2051" t="s">
        <v>118</v>
      </c>
      <c r="T819" s="2038"/>
      <c r="U819" s="2051" t="s">
        <v>119</v>
      </c>
      <c r="V819" s="2038"/>
      <c r="W819" s="2052" t="s">
        <v>968</v>
      </c>
      <c r="X819" s="2041"/>
      <c r="Y819" s="2050"/>
    </row>
    <row r="820" spans="2:25" x14ac:dyDescent="0.25">
      <c r="B820" s="2046"/>
      <c r="C820" s="2041"/>
      <c r="D820" s="2041"/>
      <c r="E820" s="2041"/>
      <c r="F820" s="2041"/>
      <c r="G820" s="2041"/>
      <c r="H820" s="2041"/>
      <c r="I820" s="2041"/>
      <c r="J820" s="2052"/>
      <c r="K820" s="1263" t="s">
        <v>9</v>
      </c>
      <c r="L820" s="1503" t="s">
        <v>3107</v>
      </c>
      <c r="M820" s="1263" t="s">
        <v>9</v>
      </c>
      <c r="N820" s="1503" t="s">
        <v>1355</v>
      </c>
      <c r="O820" s="1263" t="s">
        <v>9</v>
      </c>
      <c r="P820" s="1503" t="s">
        <v>1355</v>
      </c>
      <c r="Q820" s="1263" t="s">
        <v>9</v>
      </c>
      <c r="R820" s="1503" t="s">
        <v>1355</v>
      </c>
      <c r="S820" s="1263" t="s">
        <v>9</v>
      </c>
      <c r="T820" s="1503" t="s">
        <v>1355</v>
      </c>
      <c r="U820" s="1263" t="s">
        <v>9</v>
      </c>
      <c r="V820" s="1503" t="s">
        <v>1355</v>
      </c>
      <c r="W820" s="2052"/>
      <c r="X820" s="2041"/>
      <c r="Y820" s="2050"/>
    </row>
    <row r="821" spans="2:25" s="1239" customFormat="1" x14ac:dyDescent="0.25">
      <c r="B821" s="1504" t="s">
        <v>586</v>
      </c>
      <c r="C821" s="1448" t="s">
        <v>585</v>
      </c>
      <c r="D821" s="1448" t="s">
        <v>654</v>
      </c>
      <c r="E821" s="1448" t="s">
        <v>655</v>
      </c>
      <c r="F821" s="1505" t="s">
        <v>32</v>
      </c>
      <c r="G821" s="933">
        <v>6</v>
      </c>
      <c r="H821" s="1505">
        <v>7</v>
      </c>
      <c r="I821" s="1445" t="s">
        <v>3065</v>
      </c>
      <c r="J821" s="1269" t="s">
        <v>3066</v>
      </c>
      <c r="K821" s="1269" t="s">
        <v>3067</v>
      </c>
      <c r="L821" s="1506" t="s">
        <v>3068</v>
      </c>
      <c r="M821" s="1269" t="s">
        <v>3069</v>
      </c>
      <c r="N821" s="1506">
        <v>13</v>
      </c>
      <c r="O821" s="1269">
        <v>14</v>
      </c>
      <c r="P821" s="1506">
        <v>15</v>
      </c>
      <c r="Q821" s="1269">
        <v>16</v>
      </c>
      <c r="R821" s="1506">
        <v>17</v>
      </c>
      <c r="S821" s="1269">
        <v>18</v>
      </c>
      <c r="T821" s="1506">
        <v>19</v>
      </c>
      <c r="U821" s="1269">
        <v>20</v>
      </c>
      <c r="V821" s="1506">
        <v>21</v>
      </c>
      <c r="W821" s="1269">
        <v>22</v>
      </c>
      <c r="X821" s="1445">
        <v>23</v>
      </c>
      <c r="Y821" s="1507">
        <v>24</v>
      </c>
    </row>
    <row r="822" spans="2:25" s="210" customFormat="1" ht="63.75" customHeight="1" x14ac:dyDescent="0.25">
      <c r="B822" s="2047" t="s">
        <v>120</v>
      </c>
      <c r="C822" s="2042" t="s">
        <v>34</v>
      </c>
      <c r="D822" s="2042" t="s">
        <v>3831</v>
      </c>
      <c r="E822" s="2042" t="s">
        <v>3832</v>
      </c>
      <c r="F822" s="2042" t="s">
        <v>3913</v>
      </c>
      <c r="G822" s="173" t="s">
        <v>3133</v>
      </c>
      <c r="H822" s="1117" t="s">
        <v>35</v>
      </c>
      <c r="I822" s="1134" t="s">
        <v>19</v>
      </c>
      <c r="J822" s="1576">
        <v>90</v>
      </c>
      <c r="K822" s="1576">
        <v>91</v>
      </c>
      <c r="L822" s="1577"/>
      <c r="M822" s="1576">
        <v>92</v>
      </c>
      <c r="N822" s="1577"/>
      <c r="O822" s="1576">
        <v>93</v>
      </c>
      <c r="P822" s="1577"/>
      <c r="Q822" s="1576">
        <v>94</v>
      </c>
      <c r="R822" s="1577"/>
      <c r="S822" s="1576">
        <v>95</v>
      </c>
      <c r="T822" s="1577"/>
      <c r="U822" s="1576">
        <v>96</v>
      </c>
      <c r="V822" s="1577"/>
      <c r="W822" s="1576">
        <v>95</v>
      </c>
      <c r="X822" s="1578"/>
      <c r="Y822" s="1579" t="s">
        <v>497</v>
      </c>
    </row>
    <row r="823" spans="2:25" s="210" customFormat="1" ht="76.5" x14ac:dyDescent="0.25">
      <c r="B823" s="2048"/>
      <c r="C823" s="2043"/>
      <c r="D823" s="2043"/>
      <c r="E823" s="2043"/>
      <c r="F823" s="2043"/>
      <c r="G823" s="1118" t="s">
        <v>495</v>
      </c>
      <c r="H823" s="1493" t="s">
        <v>496</v>
      </c>
      <c r="I823" s="1134" t="s">
        <v>19</v>
      </c>
      <c r="J823" s="1412">
        <v>100</v>
      </c>
      <c r="K823" s="1413">
        <v>20</v>
      </c>
      <c r="L823" s="1580">
        <f>SUM(L824:L836)</f>
        <v>261000</v>
      </c>
      <c r="M823" s="1413">
        <v>20</v>
      </c>
      <c r="N823" s="1580">
        <f>SUM(N824:N836)</f>
        <v>289500</v>
      </c>
      <c r="O823" s="1413">
        <v>15</v>
      </c>
      <c r="P823" s="1580">
        <f>SUM(P824:P836)</f>
        <v>320850</v>
      </c>
      <c r="Q823" s="1413">
        <v>15</v>
      </c>
      <c r="R823" s="1580">
        <f>SUM(R824:R836)</f>
        <v>353500</v>
      </c>
      <c r="S823" s="1413">
        <v>15</v>
      </c>
      <c r="T823" s="1580">
        <f>SUM(T824:T836)</f>
        <v>390000</v>
      </c>
      <c r="U823" s="1413">
        <v>15</v>
      </c>
      <c r="V823" s="1580">
        <f>SUM(V824:V836)</f>
        <v>390000</v>
      </c>
      <c r="W823" s="1415">
        <v>100</v>
      </c>
      <c r="X823" s="1416"/>
      <c r="Y823" s="1579" t="s">
        <v>497</v>
      </c>
    </row>
    <row r="824" spans="2:25" s="210" customFormat="1" ht="38.25" x14ac:dyDescent="0.25">
      <c r="B824" s="2048"/>
      <c r="C824" s="1124"/>
      <c r="D824" s="1124"/>
      <c r="E824" s="1124"/>
      <c r="F824" s="1124"/>
      <c r="G824" s="1118" t="s">
        <v>498</v>
      </c>
      <c r="H824" s="1118" t="s">
        <v>499</v>
      </c>
      <c r="I824" s="1134" t="s">
        <v>40</v>
      </c>
      <c r="J824" s="1412"/>
      <c r="K824" s="1413">
        <v>12</v>
      </c>
      <c r="L824" s="1414">
        <v>5500</v>
      </c>
      <c r="M824" s="1413">
        <v>12</v>
      </c>
      <c r="N824" s="1414">
        <v>6000</v>
      </c>
      <c r="O824" s="1413">
        <v>12</v>
      </c>
      <c r="P824" s="1414">
        <v>6600</v>
      </c>
      <c r="Q824" s="1413">
        <v>12</v>
      </c>
      <c r="R824" s="1414">
        <v>7000</v>
      </c>
      <c r="S824" s="1413">
        <v>12</v>
      </c>
      <c r="T824" s="1414">
        <v>7500</v>
      </c>
      <c r="U824" s="1413">
        <v>12</v>
      </c>
      <c r="V824" s="1414">
        <v>7500</v>
      </c>
      <c r="W824" s="1415">
        <v>60</v>
      </c>
      <c r="X824" s="1416"/>
      <c r="Y824" s="1579" t="s">
        <v>497</v>
      </c>
    </row>
    <row r="825" spans="2:25" s="210" customFormat="1" ht="38.25" x14ac:dyDescent="0.25">
      <c r="B825" s="2048"/>
      <c r="C825" s="1124"/>
      <c r="D825" s="1124"/>
      <c r="E825" s="1124"/>
      <c r="F825" s="1124"/>
      <c r="G825" s="1118" t="s">
        <v>500</v>
      </c>
      <c r="H825" s="1118" t="s">
        <v>501</v>
      </c>
      <c r="I825" s="1134" t="s">
        <v>40</v>
      </c>
      <c r="J825" s="1412"/>
      <c r="K825" s="1413">
        <v>12</v>
      </c>
      <c r="L825" s="1414">
        <v>65000</v>
      </c>
      <c r="M825" s="1413">
        <v>12</v>
      </c>
      <c r="N825" s="1414">
        <v>70000</v>
      </c>
      <c r="O825" s="1413">
        <v>12</v>
      </c>
      <c r="P825" s="1414">
        <v>75000</v>
      </c>
      <c r="Q825" s="1413">
        <v>12</v>
      </c>
      <c r="R825" s="1414">
        <v>80000</v>
      </c>
      <c r="S825" s="1413">
        <v>12</v>
      </c>
      <c r="T825" s="1414">
        <v>85000</v>
      </c>
      <c r="U825" s="1413">
        <v>12</v>
      </c>
      <c r="V825" s="1414">
        <v>85000</v>
      </c>
      <c r="W825" s="1415">
        <v>60</v>
      </c>
      <c r="X825" s="1416"/>
      <c r="Y825" s="1579" t="s">
        <v>497</v>
      </c>
    </row>
    <row r="826" spans="2:25" s="210" customFormat="1" ht="89.25" x14ac:dyDescent="0.25">
      <c r="B826" s="2048"/>
      <c r="C826" s="1124"/>
      <c r="D826" s="1124"/>
      <c r="E826" s="1124"/>
      <c r="F826" s="1124"/>
      <c r="G826" s="1118" t="s">
        <v>502</v>
      </c>
      <c r="H826" s="1118" t="s">
        <v>503</v>
      </c>
      <c r="I826" s="1134" t="s">
        <v>40</v>
      </c>
      <c r="J826" s="1412"/>
      <c r="K826" s="1413">
        <v>12</v>
      </c>
      <c r="L826" s="1414">
        <v>65000</v>
      </c>
      <c r="M826" s="1413">
        <v>12</v>
      </c>
      <c r="N826" s="1414">
        <v>70000</v>
      </c>
      <c r="O826" s="1413">
        <v>12</v>
      </c>
      <c r="P826" s="1414">
        <v>77000</v>
      </c>
      <c r="Q826" s="1413">
        <v>12</v>
      </c>
      <c r="R826" s="1414">
        <v>85000</v>
      </c>
      <c r="S826" s="1413">
        <v>12</v>
      </c>
      <c r="T826" s="1414">
        <v>95000</v>
      </c>
      <c r="U826" s="1413">
        <v>12</v>
      </c>
      <c r="V826" s="1414">
        <v>95000</v>
      </c>
      <c r="W826" s="1415">
        <v>60</v>
      </c>
      <c r="X826" s="1416"/>
      <c r="Y826" s="1579" t="s">
        <v>497</v>
      </c>
    </row>
    <row r="827" spans="2:25" s="210" customFormat="1" ht="51" x14ac:dyDescent="0.25">
      <c r="B827" s="2048"/>
      <c r="C827" s="1124"/>
      <c r="D827" s="1124"/>
      <c r="E827" s="1124"/>
      <c r="F827" s="1124"/>
      <c r="G827" s="1118" t="s">
        <v>504</v>
      </c>
      <c r="H827" s="1118" t="s">
        <v>505</v>
      </c>
      <c r="I827" s="1134" t="s">
        <v>40</v>
      </c>
      <c r="J827" s="1412"/>
      <c r="K827" s="1413">
        <v>12</v>
      </c>
      <c r="L827" s="1414">
        <v>17500</v>
      </c>
      <c r="M827" s="1413">
        <v>12</v>
      </c>
      <c r="N827" s="1414">
        <v>18500</v>
      </c>
      <c r="O827" s="1413">
        <v>12</v>
      </c>
      <c r="P827" s="1414">
        <v>20000</v>
      </c>
      <c r="Q827" s="1413">
        <v>12</v>
      </c>
      <c r="R827" s="1414">
        <v>22000</v>
      </c>
      <c r="S827" s="1413">
        <v>12</v>
      </c>
      <c r="T827" s="1414">
        <v>25000</v>
      </c>
      <c r="U827" s="1413">
        <v>12</v>
      </c>
      <c r="V827" s="1414">
        <v>25000</v>
      </c>
      <c r="W827" s="1415">
        <v>60</v>
      </c>
      <c r="X827" s="1416"/>
      <c r="Y827" s="1579" t="s">
        <v>497</v>
      </c>
    </row>
    <row r="828" spans="2:25" s="210" customFormat="1" ht="51" x14ac:dyDescent="0.25">
      <c r="B828" s="2048"/>
      <c r="C828" s="1124"/>
      <c r="D828" s="1124"/>
      <c r="E828" s="1124"/>
      <c r="F828" s="1124"/>
      <c r="G828" s="1118" t="s">
        <v>506</v>
      </c>
      <c r="H828" s="1118" t="s">
        <v>507</v>
      </c>
      <c r="I828" s="1134" t="s">
        <v>40</v>
      </c>
      <c r="J828" s="1412"/>
      <c r="K828" s="1413">
        <v>12</v>
      </c>
      <c r="L828" s="1414">
        <v>3000</v>
      </c>
      <c r="M828" s="1413">
        <v>12</v>
      </c>
      <c r="N828" s="1414">
        <v>3500</v>
      </c>
      <c r="O828" s="1413">
        <v>12</v>
      </c>
      <c r="P828" s="1414">
        <v>4000</v>
      </c>
      <c r="Q828" s="1413">
        <v>12</v>
      </c>
      <c r="R828" s="1414">
        <v>4500</v>
      </c>
      <c r="S828" s="1413">
        <v>12</v>
      </c>
      <c r="T828" s="1414">
        <v>5000</v>
      </c>
      <c r="U828" s="1413">
        <v>12</v>
      </c>
      <c r="V828" s="1414">
        <v>5000</v>
      </c>
      <c r="W828" s="1415">
        <v>60</v>
      </c>
      <c r="X828" s="1416"/>
      <c r="Y828" s="1579" t="s">
        <v>497</v>
      </c>
    </row>
    <row r="829" spans="2:25" s="210" customFormat="1" ht="38.25" x14ac:dyDescent="0.25">
      <c r="B829" s="2048"/>
      <c r="C829" s="1124"/>
      <c r="D829" s="1124"/>
      <c r="E829" s="1124"/>
      <c r="F829" s="1124"/>
      <c r="G829" s="1118" t="s">
        <v>508</v>
      </c>
      <c r="H829" s="1118" t="s">
        <v>509</v>
      </c>
      <c r="I829" s="1134" t="s">
        <v>40</v>
      </c>
      <c r="J829" s="1412"/>
      <c r="K829" s="1413">
        <v>12</v>
      </c>
      <c r="L829" s="1414">
        <v>20000</v>
      </c>
      <c r="M829" s="1413">
        <v>12</v>
      </c>
      <c r="N829" s="1414">
        <v>22500</v>
      </c>
      <c r="O829" s="1413">
        <v>12</v>
      </c>
      <c r="P829" s="1414">
        <v>25000</v>
      </c>
      <c r="Q829" s="1413">
        <v>12</v>
      </c>
      <c r="R829" s="1414">
        <v>27500</v>
      </c>
      <c r="S829" s="1413">
        <v>12</v>
      </c>
      <c r="T829" s="1414">
        <v>30000</v>
      </c>
      <c r="U829" s="1413">
        <v>12</v>
      </c>
      <c r="V829" s="1414">
        <v>30000</v>
      </c>
      <c r="W829" s="1415">
        <v>60</v>
      </c>
      <c r="X829" s="1416"/>
      <c r="Y829" s="1579" t="s">
        <v>497</v>
      </c>
    </row>
    <row r="830" spans="2:25" s="210" customFormat="1" ht="25.5" x14ac:dyDescent="0.25">
      <c r="B830" s="2048"/>
      <c r="C830" s="1124"/>
      <c r="D830" s="1124"/>
      <c r="E830" s="1124"/>
      <c r="F830" s="1124"/>
      <c r="G830" s="1118" t="s">
        <v>510</v>
      </c>
      <c r="H830" s="1118" t="s">
        <v>132</v>
      </c>
      <c r="I830" s="1134" t="s">
        <v>40</v>
      </c>
      <c r="J830" s="1412"/>
      <c r="K830" s="1413">
        <v>12</v>
      </c>
      <c r="L830" s="1414">
        <v>8500</v>
      </c>
      <c r="M830" s="1413">
        <v>12</v>
      </c>
      <c r="N830" s="1414">
        <v>9500</v>
      </c>
      <c r="O830" s="1413">
        <v>12</v>
      </c>
      <c r="P830" s="1414">
        <v>11000</v>
      </c>
      <c r="Q830" s="1413">
        <v>12</v>
      </c>
      <c r="R830" s="1414">
        <v>12000</v>
      </c>
      <c r="S830" s="1413">
        <v>12</v>
      </c>
      <c r="T830" s="1414">
        <v>13500</v>
      </c>
      <c r="U830" s="1413">
        <v>12</v>
      </c>
      <c r="V830" s="1414">
        <v>13500</v>
      </c>
      <c r="W830" s="1415">
        <v>60</v>
      </c>
      <c r="X830" s="1416"/>
      <c r="Y830" s="1579" t="s">
        <v>497</v>
      </c>
    </row>
    <row r="831" spans="2:25" s="210" customFormat="1" ht="38.25" x14ac:dyDescent="0.25">
      <c r="B831" s="2048"/>
      <c r="C831" s="1124"/>
      <c r="D831" s="1124"/>
      <c r="E831" s="1124"/>
      <c r="F831" s="1124"/>
      <c r="G831" s="1118" t="s">
        <v>511</v>
      </c>
      <c r="H831" s="1118" t="s">
        <v>512</v>
      </c>
      <c r="I831" s="1134" t="s">
        <v>40</v>
      </c>
      <c r="J831" s="1412"/>
      <c r="K831" s="1413">
        <v>12</v>
      </c>
      <c r="L831" s="1414">
        <v>8000</v>
      </c>
      <c r="M831" s="1413">
        <v>12</v>
      </c>
      <c r="N831" s="1414">
        <v>9000</v>
      </c>
      <c r="O831" s="1413">
        <v>12</v>
      </c>
      <c r="P831" s="1414">
        <v>10000</v>
      </c>
      <c r="Q831" s="1413">
        <v>12</v>
      </c>
      <c r="R831" s="1414">
        <v>11000</v>
      </c>
      <c r="S831" s="1413">
        <v>12</v>
      </c>
      <c r="T831" s="1414">
        <v>12000</v>
      </c>
      <c r="U831" s="1413">
        <v>12</v>
      </c>
      <c r="V831" s="1414">
        <v>12000</v>
      </c>
      <c r="W831" s="1415">
        <v>60</v>
      </c>
      <c r="X831" s="1416"/>
      <c r="Y831" s="1579" t="s">
        <v>497</v>
      </c>
    </row>
    <row r="832" spans="2:25" s="210" customFormat="1" ht="51" x14ac:dyDescent="0.25">
      <c r="B832" s="2048"/>
      <c r="C832" s="1124"/>
      <c r="D832" s="1124"/>
      <c r="E832" s="1124"/>
      <c r="F832" s="1124"/>
      <c r="G832" s="1118" t="s">
        <v>513</v>
      </c>
      <c r="H832" s="1118" t="s">
        <v>514</v>
      </c>
      <c r="I832" s="1134" t="s">
        <v>40</v>
      </c>
      <c r="J832" s="1412"/>
      <c r="K832" s="1413">
        <v>12</v>
      </c>
      <c r="L832" s="1414">
        <v>5000</v>
      </c>
      <c r="M832" s="1413">
        <v>12</v>
      </c>
      <c r="N832" s="1414">
        <v>7500</v>
      </c>
      <c r="O832" s="1413">
        <v>12</v>
      </c>
      <c r="P832" s="1414">
        <v>10000</v>
      </c>
      <c r="Q832" s="1413">
        <v>12</v>
      </c>
      <c r="R832" s="1414">
        <v>12500</v>
      </c>
      <c r="S832" s="1413">
        <v>12</v>
      </c>
      <c r="T832" s="1414">
        <v>15000</v>
      </c>
      <c r="U832" s="1413">
        <v>12</v>
      </c>
      <c r="V832" s="1414">
        <v>15000</v>
      </c>
      <c r="W832" s="1415">
        <v>60</v>
      </c>
      <c r="X832" s="1416"/>
      <c r="Y832" s="1579" t="s">
        <v>497</v>
      </c>
    </row>
    <row r="833" spans="2:25" s="210" customFormat="1" ht="63.75" x14ac:dyDescent="0.25">
      <c r="B833" s="2048"/>
      <c r="C833" s="1124"/>
      <c r="D833" s="1124"/>
      <c r="E833" s="1124"/>
      <c r="F833" s="1124"/>
      <c r="G833" s="1118" t="s">
        <v>515</v>
      </c>
      <c r="H833" s="1118" t="s">
        <v>516</v>
      </c>
      <c r="I833" s="1134" t="s">
        <v>40</v>
      </c>
      <c r="J833" s="1412"/>
      <c r="K833" s="1413">
        <v>12</v>
      </c>
      <c r="L833" s="1414">
        <v>7500</v>
      </c>
      <c r="M833" s="1413">
        <v>12</v>
      </c>
      <c r="N833" s="1414">
        <v>10000</v>
      </c>
      <c r="O833" s="1413">
        <v>12</v>
      </c>
      <c r="P833" s="1414">
        <v>12500</v>
      </c>
      <c r="Q833" s="1413">
        <v>12</v>
      </c>
      <c r="R833" s="1414">
        <v>15000</v>
      </c>
      <c r="S833" s="1413">
        <v>12</v>
      </c>
      <c r="T833" s="1414">
        <v>17500</v>
      </c>
      <c r="U833" s="1413">
        <v>12</v>
      </c>
      <c r="V833" s="1414">
        <v>17500</v>
      </c>
      <c r="W833" s="1415">
        <v>60</v>
      </c>
      <c r="X833" s="1416"/>
      <c r="Y833" s="1579" t="s">
        <v>497</v>
      </c>
    </row>
    <row r="834" spans="2:25" s="210" customFormat="1" ht="51" x14ac:dyDescent="0.25">
      <c r="B834" s="2048"/>
      <c r="C834" s="1124"/>
      <c r="D834" s="1124"/>
      <c r="E834" s="1124"/>
      <c r="F834" s="1124"/>
      <c r="G834" s="1118" t="s">
        <v>517</v>
      </c>
      <c r="H834" s="1118" t="s">
        <v>518</v>
      </c>
      <c r="I834" s="1134" t="s">
        <v>40</v>
      </c>
      <c r="J834" s="1412"/>
      <c r="K834" s="1413">
        <v>12</v>
      </c>
      <c r="L834" s="1414">
        <v>6000</v>
      </c>
      <c r="M834" s="1413">
        <v>12</v>
      </c>
      <c r="N834" s="1414">
        <v>7000</v>
      </c>
      <c r="O834" s="1413">
        <v>12</v>
      </c>
      <c r="P834" s="1414">
        <v>7750</v>
      </c>
      <c r="Q834" s="1413">
        <v>12</v>
      </c>
      <c r="R834" s="1414">
        <v>8500</v>
      </c>
      <c r="S834" s="1413">
        <v>12</v>
      </c>
      <c r="T834" s="1414">
        <v>9500</v>
      </c>
      <c r="U834" s="1413">
        <v>12</v>
      </c>
      <c r="V834" s="1414">
        <v>9500</v>
      </c>
      <c r="W834" s="1415">
        <v>60</v>
      </c>
      <c r="X834" s="1416"/>
      <c r="Y834" s="1579" t="s">
        <v>497</v>
      </c>
    </row>
    <row r="835" spans="2:25" s="210" customFormat="1" ht="51" x14ac:dyDescent="0.25">
      <c r="B835" s="2048"/>
      <c r="C835" s="1124"/>
      <c r="D835" s="1124"/>
      <c r="E835" s="1124"/>
      <c r="F835" s="1124"/>
      <c r="G835" s="1118" t="s">
        <v>519</v>
      </c>
      <c r="H835" s="1118" t="s">
        <v>520</v>
      </c>
      <c r="I835" s="1134" t="s">
        <v>40</v>
      </c>
      <c r="J835" s="1412"/>
      <c r="K835" s="1413">
        <v>12</v>
      </c>
      <c r="L835" s="1414">
        <v>40000</v>
      </c>
      <c r="M835" s="1413">
        <v>12</v>
      </c>
      <c r="N835" s="1414">
        <v>45000</v>
      </c>
      <c r="O835" s="1413">
        <v>12</v>
      </c>
      <c r="P835" s="1414">
        <v>50000</v>
      </c>
      <c r="Q835" s="1413">
        <v>12</v>
      </c>
      <c r="R835" s="1414">
        <v>55000</v>
      </c>
      <c r="S835" s="1413">
        <v>12</v>
      </c>
      <c r="T835" s="1414">
        <v>60000</v>
      </c>
      <c r="U835" s="1413">
        <v>12</v>
      </c>
      <c r="V835" s="1414">
        <v>60000</v>
      </c>
      <c r="W835" s="1415">
        <v>60</v>
      </c>
      <c r="X835" s="1416"/>
      <c r="Y835" s="1579" t="s">
        <v>497</v>
      </c>
    </row>
    <row r="836" spans="2:25" s="210" customFormat="1" ht="51" x14ac:dyDescent="0.25">
      <c r="B836" s="2048"/>
      <c r="C836" s="1124"/>
      <c r="D836" s="1124"/>
      <c r="E836" s="1124"/>
      <c r="F836" s="1124"/>
      <c r="G836" s="1118" t="s">
        <v>521</v>
      </c>
      <c r="H836" s="1118" t="s">
        <v>522</v>
      </c>
      <c r="I836" s="1134" t="s">
        <v>40</v>
      </c>
      <c r="J836" s="1412"/>
      <c r="K836" s="1413">
        <v>12</v>
      </c>
      <c r="L836" s="1414">
        <v>10000</v>
      </c>
      <c r="M836" s="1413">
        <v>12</v>
      </c>
      <c r="N836" s="1414">
        <v>11000</v>
      </c>
      <c r="O836" s="1413">
        <v>12</v>
      </c>
      <c r="P836" s="1414">
        <v>12000</v>
      </c>
      <c r="Q836" s="1413">
        <v>12</v>
      </c>
      <c r="R836" s="1414">
        <v>13500</v>
      </c>
      <c r="S836" s="1413">
        <v>12</v>
      </c>
      <c r="T836" s="1414">
        <v>15000</v>
      </c>
      <c r="U836" s="1413">
        <v>12</v>
      </c>
      <c r="V836" s="1414">
        <v>15000</v>
      </c>
      <c r="W836" s="1415">
        <v>60</v>
      </c>
      <c r="X836" s="1416"/>
      <c r="Y836" s="1579" t="s">
        <v>497</v>
      </c>
    </row>
    <row r="837" spans="2:25" s="210" customFormat="1" ht="38.25" x14ac:dyDescent="0.25">
      <c r="B837" s="2048"/>
      <c r="C837" s="1124"/>
      <c r="D837" s="1124"/>
      <c r="E837" s="1124"/>
      <c r="F837" s="1124"/>
      <c r="G837" s="1118" t="s">
        <v>65</v>
      </c>
      <c r="H837" s="1118" t="s">
        <v>523</v>
      </c>
      <c r="I837" s="1134" t="s">
        <v>19</v>
      </c>
      <c r="J837" s="1412">
        <v>100</v>
      </c>
      <c r="K837" s="1417">
        <v>12</v>
      </c>
      <c r="L837" s="1414">
        <f>SUM(L838:L845)</f>
        <v>108000</v>
      </c>
      <c r="M837" s="1417">
        <v>23</v>
      </c>
      <c r="N837" s="1414">
        <f>SUM(N838:N845)</f>
        <v>376000</v>
      </c>
      <c r="O837" s="1417">
        <v>17</v>
      </c>
      <c r="P837" s="1414">
        <f>SUM(P838:P845)</f>
        <v>141250</v>
      </c>
      <c r="Q837" s="1417">
        <v>20</v>
      </c>
      <c r="R837" s="1414">
        <f>SUM(R838:R845)</f>
        <v>157500</v>
      </c>
      <c r="S837" s="1417">
        <v>20</v>
      </c>
      <c r="T837" s="1414">
        <f>SUM(T838:T845)</f>
        <v>174000</v>
      </c>
      <c r="U837" s="1417">
        <v>20</v>
      </c>
      <c r="V837" s="1414">
        <f>SUM(V838:V845)</f>
        <v>174000</v>
      </c>
      <c r="W837" s="1415">
        <v>100</v>
      </c>
      <c r="X837" s="1416"/>
      <c r="Y837" s="1579" t="s">
        <v>497</v>
      </c>
    </row>
    <row r="838" spans="2:25" s="210" customFormat="1" ht="38.25" x14ac:dyDescent="0.25">
      <c r="B838" s="2048"/>
      <c r="C838" s="1124"/>
      <c r="D838" s="1124"/>
      <c r="E838" s="1124"/>
      <c r="F838" s="1124"/>
      <c r="G838" s="2078" t="s">
        <v>524</v>
      </c>
      <c r="H838" s="1118" t="s">
        <v>525</v>
      </c>
      <c r="I838" s="1134" t="s">
        <v>75</v>
      </c>
      <c r="J838" s="1417"/>
      <c r="K838" s="1417">
        <v>0</v>
      </c>
      <c r="L838" s="2075">
        <v>0</v>
      </c>
      <c r="M838" s="1418">
        <v>1</v>
      </c>
      <c r="N838" s="2075">
        <v>250000</v>
      </c>
      <c r="O838" s="1417">
        <v>0</v>
      </c>
      <c r="P838" s="2075">
        <v>0</v>
      </c>
      <c r="Q838" s="1417">
        <v>0</v>
      </c>
      <c r="R838" s="2075">
        <v>0</v>
      </c>
      <c r="S838" s="1417">
        <v>0</v>
      </c>
      <c r="T838" s="2075">
        <v>0</v>
      </c>
      <c r="U838" s="1417">
        <v>0</v>
      </c>
      <c r="V838" s="2075">
        <v>0</v>
      </c>
      <c r="W838" s="1415"/>
      <c r="X838" s="1416"/>
      <c r="Y838" s="1579" t="s">
        <v>497</v>
      </c>
    </row>
    <row r="839" spans="2:25" s="210" customFormat="1" ht="38.25" x14ac:dyDescent="0.25">
      <c r="B839" s="2048"/>
      <c r="C839" s="1124"/>
      <c r="D839" s="1124"/>
      <c r="E839" s="1124"/>
      <c r="F839" s="1124"/>
      <c r="G839" s="2078"/>
      <c r="H839" s="1118" t="s">
        <v>526</v>
      </c>
      <c r="I839" s="1134" t="s">
        <v>75</v>
      </c>
      <c r="J839" s="1417"/>
      <c r="K839" s="1417">
        <v>0</v>
      </c>
      <c r="L839" s="2075"/>
      <c r="M839" s="1418">
        <v>0</v>
      </c>
      <c r="N839" s="2075"/>
      <c r="O839" s="1417">
        <v>0</v>
      </c>
      <c r="P839" s="2075"/>
      <c r="Q839" s="1417">
        <v>0</v>
      </c>
      <c r="R839" s="2075"/>
      <c r="S839" s="1417">
        <v>0</v>
      </c>
      <c r="T839" s="2075"/>
      <c r="U839" s="1417">
        <v>0</v>
      </c>
      <c r="V839" s="2075"/>
      <c r="W839" s="1415"/>
      <c r="X839" s="1416"/>
      <c r="Y839" s="1579" t="s">
        <v>497</v>
      </c>
    </row>
    <row r="840" spans="2:25" s="210" customFormat="1" ht="38.25" x14ac:dyDescent="0.25">
      <c r="B840" s="2048"/>
      <c r="C840" s="1124"/>
      <c r="D840" s="1124"/>
      <c r="E840" s="1124"/>
      <c r="F840" s="1124"/>
      <c r="G840" s="1118" t="s">
        <v>527</v>
      </c>
      <c r="H840" s="1118" t="s">
        <v>528</v>
      </c>
      <c r="I840" s="1134" t="s">
        <v>75</v>
      </c>
      <c r="J840" s="1417"/>
      <c r="K840" s="1417">
        <v>0</v>
      </c>
      <c r="L840" s="1419">
        <v>0</v>
      </c>
      <c r="M840" s="1413">
        <v>0</v>
      </c>
      <c r="N840" s="1419">
        <v>0</v>
      </c>
      <c r="O840" s="1417">
        <v>0</v>
      </c>
      <c r="P840" s="1419">
        <v>0</v>
      </c>
      <c r="Q840" s="1417">
        <v>0</v>
      </c>
      <c r="R840" s="1419">
        <v>0</v>
      </c>
      <c r="S840" s="1417">
        <v>0</v>
      </c>
      <c r="T840" s="1419">
        <v>0</v>
      </c>
      <c r="U840" s="1417">
        <v>0</v>
      </c>
      <c r="V840" s="1419">
        <v>0</v>
      </c>
      <c r="W840" s="1415"/>
      <c r="X840" s="1416"/>
      <c r="Y840" s="1579" t="s">
        <v>497</v>
      </c>
    </row>
    <row r="841" spans="2:25" s="210" customFormat="1" ht="38.25" x14ac:dyDescent="0.25">
      <c r="B841" s="2048"/>
      <c r="C841" s="1124"/>
      <c r="D841" s="1124"/>
      <c r="E841" s="1124"/>
      <c r="F841" s="1124"/>
      <c r="G841" s="1118" t="s">
        <v>529</v>
      </c>
      <c r="H841" s="1118" t="s">
        <v>530</v>
      </c>
      <c r="I841" s="1134" t="s">
        <v>75</v>
      </c>
      <c r="J841" s="1417"/>
      <c r="K841" s="1417">
        <v>4</v>
      </c>
      <c r="L841" s="1419">
        <v>34000</v>
      </c>
      <c r="M841" s="1417">
        <v>6</v>
      </c>
      <c r="N841" s="1419">
        <v>37500</v>
      </c>
      <c r="O841" s="1417">
        <v>8</v>
      </c>
      <c r="P841" s="1419">
        <v>41250</v>
      </c>
      <c r="Q841" s="1417">
        <v>8</v>
      </c>
      <c r="R841" s="1419">
        <v>45500</v>
      </c>
      <c r="S841" s="1417">
        <v>8</v>
      </c>
      <c r="T841" s="1419">
        <v>50000</v>
      </c>
      <c r="U841" s="1417">
        <v>8</v>
      </c>
      <c r="V841" s="1419">
        <v>50000</v>
      </c>
      <c r="W841" s="1415"/>
      <c r="X841" s="1416"/>
      <c r="Y841" s="1579" t="s">
        <v>497</v>
      </c>
    </row>
    <row r="842" spans="2:25" s="210" customFormat="1" ht="114.75" x14ac:dyDescent="0.25">
      <c r="B842" s="2048"/>
      <c r="C842" s="1124"/>
      <c r="D842" s="1124"/>
      <c r="E842" s="1124"/>
      <c r="F842" s="1124"/>
      <c r="G842" s="1118" t="s">
        <v>531</v>
      </c>
      <c r="H842" s="1118" t="s">
        <v>532</v>
      </c>
      <c r="I842" s="1134" t="s">
        <v>75</v>
      </c>
      <c r="J842" s="1417"/>
      <c r="K842" s="1417">
        <v>6</v>
      </c>
      <c r="L842" s="1419">
        <v>37000</v>
      </c>
      <c r="M842" s="1417">
        <v>8</v>
      </c>
      <c r="N842" s="1419">
        <v>40000</v>
      </c>
      <c r="O842" s="1417">
        <v>8</v>
      </c>
      <c r="P842" s="1419">
        <v>45000</v>
      </c>
      <c r="Q842" s="1417">
        <v>10</v>
      </c>
      <c r="R842" s="1419">
        <v>50000</v>
      </c>
      <c r="S842" s="1413">
        <v>10</v>
      </c>
      <c r="T842" s="1419">
        <v>55000</v>
      </c>
      <c r="U842" s="1413">
        <v>10</v>
      </c>
      <c r="V842" s="1419">
        <v>55000</v>
      </c>
      <c r="W842" s="1415"/>
      <c r="X842" s="1416"/>
      <c r="Y842" s="1579" t="s">
        <v>497</v>
      </c>
    </row>
    <row r="843" spans="2:25" s="210" customFormat="1" ht="38.25" x14ac:dyDescent="0.25">
      <c r="B843" s="2048"/>
      <c r="C843" s="1124"/>
      <c r="D843" s="1124"/>
      <c r="E843" s="1124"/>
      <c r="F843" s="1124"/>
      <c r="G843" s="1118" t="s">
        <v>533</v>
      </c>
      <c r="H843" s="1118" t="s">
        <v>534</v>
      </c>
      <c r="I843" s="1134" t="s">
        <v>75</v>
      </c>
      <c r="J843" s="1417"/>
      <c r="K843" s="1417">
        <v>5</v>
      </c>
      <c r="L843" s="1419">
        <v>25000</v>
      </c>
      <c r="M843" s="1417">
        <v>6</v>
      </c>
      <c r="N843" s="1419">
        <v>35000</v>
      </c>
      <c r="O843" s="1417">
        <v>6</v>
      </c>
      <c r="P843" s="1419">
        <v>40000</v>
      </c>
      <c r="Q843" s="1417">
        <v>7</v>
      </c>
      <c r="R843" s="1419">
        <v>45000</v>
      </c>
      <c r="S843" s="1417">
        <v>7</v>
      </c>
      <c r="T843" s="1419">
        <v>50000</v>
      </c>
      <c r="U843" s="1417">
        <v>7</v>
      </c>
      <c r="V843" s="1419">
        <v>50000</v>
      </c>
      <c r="W843" s="1415"/>
      <c r="X843" s="1416"/>
      <c r="Y843" s="1579" t="s">
        <v>497</v>
      </c>
    </row>
    <row r="844" spans="2:25" s="210" customFormat="1" ht="38.25" x14ac:dyDescent="0.25">
      <c r="B844" s="2048"/>
      <c r="C844" s="1124"/>
      <c r="D844" s="1124"/>
      <c r="E844" s="1124"/>
      <c r="F844" s="1124"/>
      <c r="G844" s="1118" t="s">
        <v>535</v>
      </c>
      <c r="H844" s="1118" t="s">
        <v>536</v>
      </c>
      <c r="I844" s="1134" t="s">
        <v>40</v>
      </c>
      <c r="J844" s="1417"/>
      <c r="K844" s="1417">
        <v>12</v>
      </c>
      <c r="L844" s="1419">
        <v>7000</v>
      </c>
      <c r="M844" s="1417">
        <v>12</v>
      </c>
      <c r="N844" s="1419">
        <v>8000</v>
      </c>
      <c r="O844" s="1417">
        <v>12</v>
      </c>
      <c r="P844" s="1419">
        <v>9000</v>
      </c>
      <c r="Q844" s="1417">
        <v>12</v>
      </c>
      <c r="R844" s="1419">
        <v>10000</v>
      </c>
      <c r="S844" s="1417">
        <v>12</v>
      </c>
      <c r="T844" s="1419">
        <v>11000</v>
      </c>
      <c r="U844" s="1417">
        <v>12</v>
      </c>
      <c r="V844" s="1419">
        <v>11000</v>
      </c>
      <c r="W844" s="1415"/>
      <c r="X844" s="1416"/>
      <c r="Y844" s="1579" t="s">
        <v>497</v>
      </c>
    </row>
    <row r="845" spans="2:25" s="210" customFormat="1" ht="51" x14ac:dyDescent="0.25">
      <c r="B845" s="1763"/>
      <c r="C845" s="1124"/>
      <c r="D845" s="1124"/>
      <c r="E845" s="1124"/>
      <c r="F845" s="1124"/>
      <c r="G845" s="1118" t="s">
        <v>537</v>
      </c>
      <c r="H845" s="1118" t="s">
        <v>538</v>
      </c>
      <c r="I845" s="1134" t="s">
        <v>75</v>
      </c>
      <c r="J845" s="1417"/>
      <c r="K845" s="1417">
        <v>15</v>
      </c>
      <c r="L845" s="1419">
        <v>5000</v>
      </c>
      <c r="M845" s="1417">
        <v>15</v>
      </c>
      <c r="N845" s="1419">
        <v>5500</v>
      </c>
      <c r="O845" s="1417">
        <v>15</v>
      </c>
      <c r="P845" s="1419">
        <v>6000</v>
      </c>
      <c r="Q845" s="1417">
        <v>15</v>
      </c>
      <c r="R845" s="1419">
        <v>7000</v>
      </c>
      <c r="S845" s="1417">
        <v>15</v>
      </c>
      <c r="T845" s="1419">
        <v>8000</v>
      </c>
      <c r="U845" s="1417">
        <v>15</v>
      </c>
      <c r="V845" s="1419">
        <v>8000</v>
      </c>
      <c r="W845" s="1415"/>
      <c r="X845" s="1416"/>
      <c r="Y845" s="1579" t="s">
        <v>497</v>
      </c>
    </row>
    <row r="846" spans="2:25" s="210" customFormat="1" ht="63.75" x14ac:dyDescent="0.25">
      <c r="B846" s="1763"/>
      <c r="C846" s="1124"/>
      <c r="D846" s="1124"/>
      <c r="E846" s="1124"/>
      <c r="F846" s="1124"/>
      <c r="G846" s="1118" t="s">
        <v>408</v>
      </c>
      <c r="H846" s="1118" t="s">
        <v>78</v>
      </c>
      <c r="I846" s="1134" t="s">
        <v>79</v>
      </c>
      <c r="J846" s="1420">
        <v>5</v>
      </c>
      <c r="K846" s="1413">
        <v>5</v>
      </c>
      <c r="L846" s="1581">
        <f>SUM(L847)</f>
        <v>20000</v>
      </c>
      <c r="M846" s="1413">
        <v>5</v>
      </c>
      <c r="N846" s="1581">
        <f>SUM(N847)</f>
        <v>22500</v>
      </c>
      <c r="O846" s="1413">
        <v>5</v>
      </c>
      <c r="P846" s="1581">
        <f>SUM(P847)</f>
        <v>25000</v>
      </c>
      <c r="Q846" s="1413">
        <v>5</v>
      </c>
      <c r="R846" s="1581">
        <f>SUM(R847)</f>
        <v>27500</v>
      </c>
      <c r="S846" s="1413">
        <v>5</v>
      </c>
      <c r="T846" s="1581">
        <f>SUM(T847)</f>
        <v>30000</v>
      </c>
      <c r="U846" s="1413">
        <v>5</v>
      </c>
      <c r="V846" s="1581">
        <f>SUM(V847)</f>
        <v>30000</v>
      </c>
      <c r="W846" s="1415">
        <v>30</v>
      </c>
      <c r="X846" s="1416"/>
      <c r="Y846" s="1579" t="s">
        <v>497</v>
      </c>
    </row>
    <row r="847" spans="2:25" s="210" customFormat="1" ht="89.25" x14ac:dyDescent="0.25">
      <c r="B847" s="1763"/>
      <c r="C847" s="1124"/>
      <c r="D847" s="1124"/>
      <c r="E847" s="1124"/>
      <c r="F847" s="1124"/>
      <c r="G847" s="1118" t="s">
        <v>539</v>
      </c>
      <c r="H847" s="1118" t="s">
        <v>540</v>
      </c>
      <c r="I847" s="1134" t="s">
        <v>79</v>
      </c>
      <c r="J847" s="1420">
        <v>5</v>
      </c>
      <c r="K847" s="1413">
        <v>5</v>
      </c>
      <c r="L847" s="1414">
        <v>20000</v>
      </c>
      <c r="M847" s="1413">
        <v>5</v>
      </c>
      <c r="N847" s="1414">
        <v>22500</v>
      </c>
      <c r="O847" s="1413">
        <v>5</v>
      </c>
      <c r="P847" s="1414">
        <v>25000</v>
      </c>
      <c r="Q847" s="1413">
        <v>5</v>
      </c>
      <c r="R847" s="1414">
        <v>27500</v>
      </c>
      <c r="S847" s="1413">
        <v>5</v>
      </c>
      <c r="T847" s="1414">
        <v>30000</v>
      </c>
      <c r="U847" s="1413">
        <v>5</v>
      </c>
      <c r="V847" s="1414">
        <v>30000</v>
      </c>
      <c r="W847" s="1415">
        <v>30</v>
      </c>
      <c r="X847" s="1416"/>
      <c r="Y847" s="1579" t="s">
        <v>497</v>
      </c>
    </row>
    <row r="848" spans="2:25" s="210" customFormat="1" ht="51" x14ac:dyDescent="0.25">
      <c r="B848" s="1763"/>
      <c r="C848" s="1124"/>
      <c r="D848" s="1124"/>
      <c r="E848" s="1124"/>
      <c r="F848" s="1124"/>
      <c r="G848" s="1118" t="s">
        <v>541</v>
      </c>
      <c r="H848" s="1118" t="s">
        <v>542</v>
      </c>
      <c r="I848" s="1134" t="s">
        <v>79</v>
      </c>
      <c r="J848" s="1420">
        <v>0</v>
      </c>
      <c r="K848" s="1418">
        <v>1</v>
      </c>
      <c r="L848" s="1582">
        <f>SUM(L849)</f>
        <v>10000</v>
      </c>
      <c r="M848" s="1418">
        <v>1</v>
      </c>
      <c r="N848" s="1582">
        <f>SUM(N849)</f>
        <v>12500</v>
      </c>
      <c r="O848" s="1418">
        <v>1</v>
      </c>
      <c r="P848" s="1582">
        <f>SUM(P849)</f>
        <v>15000</v>
      </c>
      <c r="Q848" s="1418">
        <v>1</v>
      </c>
      <c r="R848" s="1582">
        <f>SUM(R849)</f>
        <v>16500</v>
      </c>
      <c r="S848" s="1418">
        <v>1</v>
      </c>
      <c r="T848" s="1582">
        <f>SUM(T849)</f>
        <v>17500</v>
      </c>
      <c r="U848" s="1418">
        <v>1</v>
      </c>
      <c r="V848" s="1582">
        <f>SUM(V849)</f>
        <v>17500</v>
      </c>
      <c r="W848" s="1415">
        <v>6</v>
      </c>
      <c r="X848" s="1416"/>
      <c r="Y848" s="1579" t="s">
        <v>497</v>
      </c>
    </row>
    <row r="849" spans="2:25" s="210" customFormat="1" ht="38.25" x14ac:dyDescent="0.25">
      <c r="B849" s="1763"/>
      <c r="C849" s="1124"/>
      <c r="D849" s="1124"/>
      <c r="E849" s="1124"/>
      <c r="F849" s="1124"/>
      <c r="G849" s="1118" t="s">
        <v>169</v>
      </c>
      <c r="H849" s="1118" t="s">
        <v>543</v>
      </c>
      <c r="I849" s="1134" t="s">
        <v>79</v>
      </c>
      <c r="J849" s="1413">
        <v>0</v>
      </c>
      <c r="K849" s="1418">
        <v>1</v>
      </c>
      <c r="L849" s="1414">
        <v>10000</v>
      </c>
      <c r="M849" s="1418">
        <v>1</v>
      </c>
      <c r="N849" s="1414">
        <v>12500</v>
      </c>
      <c r="O849" s="1418">
        <v>1</v>
      </c>
      <c r="P849" s="1414">
        <v>15000</v>
      </c>
      <c r="Q849" s="1418">
        <v>1</v>
      </c>
      <c r="R849" s="1414">
        <v>16500</v>
      </c>
      <c r="S849" s="1418">
        <v>1</v>
      </c>
      <c r="T849" s="1414">
        <v>17500</v>
      </c>
      <c r="U849" s="1418">
        <v>1</v>
      </c>
      <c r="V849" s="1414">
        <v>17500</v>
      </c>
      <c r="W849" s="1415">
        <v>6</v>
      </c>
      <c r="X849" s="1416"/>
      <c r="Y849" s="1579" t="s">
        <v>497</v>
      </c>
    </row>
    <row r="850" spans="2:25" s="210" customFormat="1" x14ac:dyDescent="0.25">
      <c r="B850" s="1763"/>
      <c r="C850" s="1118"/>
      <c r="D850" s="1118"/>
      <c r="E850" s="1118"/>
      <c r="F850" s="1118"/>
      <c r="G850" s="1117"/>
      <c r="H850" s="1117"/>
      <c r="I850" s="1422"/>
      <c r="J850" s="1423"/>
      <c r="K850" s="1423"/>
      <c r="L850" s="1424"/>
      <c r="M850" s="1423"/>
      <c r="N850" s="1424"/>
      <c r="O850" s="1423"/>
      <c r="P850" s="1424"/>
      <c r="Q850" s="1423"/>
      <c r="R850" s="1424"/>
      <c r="S850" s="1423"/>
      <c r="T850" s="1424"/>
      <c r="U850" s="1423"/>
      <c r="V850" s="1424"/>
      <c r="W850" s="1425"/>
      <c r="X850" s="1426"/>
      <c r="Y850" s="1579"/>
    </row>
    <row r="851" spans="2:25" s="210" customFormat="1" ht="63.75" x14ac:dyDescent="0.25">
      <c r="B851" s="1763"/>
      <c r="C851" s="1117" t="s">
        <v>3932</v>
      </c>
      <c r="D851" s="173" t="s">
        <v>3931</v>
      </c>
      <c r="E851" s="1118" t="s">
        <v>3935</v>
      </c>
      <c r="F851" s="173" t="s">
        <v>3936</v>
      </c>
      <c r="G851" s="1473" t="s">
        <v>3151</v>
      </c>
      <c r="H851" s="1476" t="s">
        <v>3152</v>
      </c>
      <c r="I851" s="1737" t="s">
        <v>3124</v>
      </c>
      <c r="J851" s="863" t="s">
        <v>3153</v>
      </c>
      <c r="K851" s="863" t="s">
        <v>3154</v>
      </c>
      <c r="L851" s="1246"/>
      <c r="M851" s="863" t="s">
        <v>3154</v>
      </c>
      <c r="N851" s="1246"/>
      <c r="O851" s="863" t="s">
        <v>3154</v>
      </c>
      <c r="P851" s="1246"/>
      <c r="Q851" s="1413" t="s">
        <v>3154</v>
      </c>
      <c r="R851" s="1246"/>
      <c r="S851" s="1413" t="s">
        <v>3154</v>
      </c>
      <c r="T851" s="1246"/>
      <c r="U851" s="1413" t="s">
        <v>3154</v>
      </c>
      <c r="V851" s="1246"/>
      <c r="W851" s="1415" t="s">
        <v>3154</v>
      </c>
      <c r="X851" s="1762"/>
      <c r="Y851" s="1579" t="s">
        <v>497</v>
      </c>
    </row>
    <row r="852" spans="2:25" s="210" customFormat="1" ht="51" x14ac:dyDescent="0.25">
      <c r="B852" s="1763"/>
      <c r="C852" s="1124"/>
      <c r="D852" s="1118" t="s">
        <v>3765</v>
      </c>
      <c r="E852" s="1118" t="s">
        <v>3938</v>
      </c>
      <c r="F852" s="1118" t="s">
        <v>3934</v>
      </c>
      <c r="G852" s="1253" t="s">
        <v>3940</v>
      </c>
      <c r="H852" s="1743"/>
      <c r="I852" s="1134" t="s">
        <v>19</v>
      </c>
      <c r="J852" s="216">
        <v>1</v>
      </c>
      <c r="K852" s="216">
        <v>1</v>
      </c>
      <c r="L852" s="1577"/>
      <c r="M852" s="216">
        <v>2</v>
      </c>
      <c r="N852" s="1577"/>
      <c r="O852" s="216">
        <v>2</v>
      </c>
      <c r="P852" s="1577"/>
      <c r="Q852" s="216">
        <v>3</v>
      </c>
      <c r="R852" s="1419"/>
      <c r="S852" s="216">
        <v>3</v>
      </c>
      <c r="T852" s="1577"/>
      <c r="U852" s="216">
        <v>3</v>
      </c>
      <c r="V852" s="1577"/>
      <c r="W852" s="1588">
        <f>U852</f>
        <v>3</v>
      </c>
      <c r="X852" s="1760"/>
      <c r="Y852" s="1579"/>
    </row>
    <row r="853" spans="2:25" s="210" customFormat="1" ht="63.75" x14ac:dyDescent="0.25">
      <c r="B853" s="1763"/>
      <c r="C853" s="1124"/>
      <c r="D853" s="1118" t="s">
        <v>3766</v>
      </c>
      <c r="E853" s="1118" t="s">
        <v>3939</v>
      </c>
      <c r="F853" s="1118" t="s">
        <v>3937</v>
      </c>
      <c r="G853" s="1737" t="s">
        <v>3933</v>
      </c>
      <c r="H853" s="1743"/>
      <c r="I853" s="1134" t="s">
        <v>19</v>
      </c>
      <c r="J853" s="216">
        <v>2</v>
      </c>
      <c r="K853" s="216">
        <v>2</v>
      </c>
      <c r="L853" s="1577"/>
      <c r="M853" s="216">
        <v>3</v>
      </c>
      <c r="N853" s="1577"/>
      <c r="O853" s="216">
        <v>3</v>
      </c>
      <c r="P853" s="1577"/>
      <c r="Q853" s="216">
        <v>3</v>
      </c>
      <c r="R853" s="1419"/>
      <c r="S853" s="216">
        <v>3</v>
      </c>
      <c r="T853" s="1577"/>
      <c r="U853" s="216">
        <v>3</v>
      </c>
      <c r="V853" s="1577"/>
      <c r="W853" s="1761">
        <v>3</v>
      </c>
      <c r="X853" s="1760"/>
      <c r="Y853" s="1579"/>
    </row>
    <row r="854" spans="2:25" s="210" customFormat="1" ht="51" x14ac:dyDescent="0.25">
      <c r="B854" s="1763"/>
      <c r="C854" s="1124"/>
      <c r="D854" s="1124"/>
      <c r="E854" s="1124"/>
      <c r="F854" s="1124"/>
      <c r="G854" s="1421" t="s">
        <v>551</v>
      </c>
      <c r="H854" s="1421" t="s">
        <v>550</v>
      </c>
      <c r="I854" s="1583" t="s">
        <v>19</v>
      </c>
      <c r="J854" s="214">
        <v>1.72</v>
      </c>
      <c r="K854" s="214">
        <v>4</v>
      </c>
      <c r="L854" s="1584">
        <f>SUM(L855:L865)</f>
        <v>1516000</v>
      </c>
      <c r="M854" s="214">
        <v>4</v>
      </c>
      <c r="N854" s="1584">
        <f>SUM(N855:N865)</f>
        <v>1639500</v>
      </c>
      <c r="O854" s="214">
        <v>7</v>
      </c>
      <c r="P854" s="1584">
        <f>SUM(P855:P865)</f>
        <v>1792000</v>
      </c>
      <c r="Q854" s="214">
        <v>10</v>
      </c>
      <c r="R854" s="1584">
        <f>SUM(R855:R865)</f>
        <v>1951000</v>
      </c>
      <c r="S854" s="214">
        <v>14</v>
      </c>
      <c r="T854" s="1585">
        <f>SUM(T855:T865)</f>
        <v>2122500</v>
      </c>
      <c r="U854" s="214">
        <v>14</v>
      </c>
      <c r="V854" s="1585">
        <f>SUM(V855:V865)</f>
        <v>2122500</v>
      </c>
      <c r="W854" s="1586">
        <v>14</v>
      </c>
      <c r="X854" s="1587"/>
      <c r="Y854" s="1579" t="s">
        <v>497</v>
      </c>
    </row>
    <row r="855" spans="2:25" s="210" customFormat="1" ht="63.75" x14ac:dyDescent="0.25">
      <c r="B855" s="1763"/>
      <c r="C855" s="1124"/>
      <c r="D855" s="1124"/>
      <c r="E855" s="1124"/>
      <c r="F855" s="1124"/>
      <c r="G855" s="1118" t="s">
        <v>552</v>
      </c>
      <c r="H855" s="1118" t="s">
        <v>553</v>
      </c>
      <c r="I855" s="1134" t="s">
        <v>1380</v>
      </c>
      <c r="J855" s="1417">
        <v>102</v>
      </c>
      <c r="K855" s="1420">
        <v>80</v>
      </c>
      <c r="L855" s="1419">
        <v>525000</v>
      </c>
      <c r="M855" s="1420">
        <v>80</v>
      </c>
      <c r="N855" s="1419">
        <v>565000</v>
      </c>
      <c r="O855" s="1420">
        <v>80</v>
      </c>
      <c r="P855" s="1419">
        <v>610000</v>
      </c>
      <c r="Q855" s="1420">
        <v>80</v>
      </c>
      <c r="R855" s="1419">
        <v>675000</v>
      </c>
      <c r="S855" s="1420">
        <v>80</v>
      </c>
      <c r="T855" s="1419">
        <v>750000</v>
      </c>
      <c r="U855" s="1420">
        <v>100</v>
      </c>
      <c r="V855" s="1419">
        <v>750000</v>
      </c>
      <c r="W855" s="1415">
        <v>502</v>
      </c>
      <c r="X855" s="1416"/>
      <c r="Y855" s="1579" t="s">
        <v>497</v>
      </c>
    </row>
    <row r="856" spans="2:25" s="210" customFormat="1" ht="114.75" x14ac:dyDescent="0.25">
      <c r="B856" s="1763"/>
      <c r="C856" s="1124"/>
      <c r="D856" s="1124"/>
      <c r="E856" s="1124"/>
      <c r="F856" s="1124"/>
      <c r="G856" s="1118" t="s">
        <v>555</v>
      </c>
      <c r="H856" s="1118" t="s">
        <v>556</v>
      </c>
      <c r="I856" s="1134" t="s">
        <v>364</v>
      </c>
      <c r="J856" s="1427">
        <v>24</v>
      </c>
      <c r="K856" s="1420">
        <v>25</v>
      </c>
      <c r="L856" s="1419">
        <v>105000</v>
      </c>
      <c r="M856" s="1420">
        <v>25</v>
      </c>
      <c r="N856" s="1419">
        <v>115000</v>
      </c>
      <c r="O856" s="1420">
        <v>25</v>
      </c>
      <c r="P856" s="1419">
        <v>125000</v>
      </c>
      <c r="Q856" s="1420">
        <v>25</v>
      </c>
      <c r="R856" s="1419">
        <v>137000</v>
      </c>
      <c r="S856" s="1420">
        <v>25</v>
      </c>
      <c r="T856" s="1419">
        <v>150000</v>
      </c>
      <c r="U856" s="1420">
        <v>25</v>
      </c>
      <c r="V856" s="1419">
        <v>150000</v>
      </c>
      <c r="W856" s="1415">
        <v>149</v>
      </c>
      <c r="X856" s="1416"/>
      <c r="Y856" s="1579" t="s">
        <v>497</v>
      </c>
    </row>
    <row r="857" spans="2:25" s="210" customFormat="1" ht="63.75" x14ac:dyDescent="0.25">
      <c r="B857" s="1763"/>
      <c r="C857" s="1124"/>
      <c r="D857" s="1124"/>
      <c r="E857" s="1124"/>
      <c r="F857" s="1124"/>
      <c r="G857" s="1118" t="s">
        <v>557</v>
      </c>
      <c r="H857" s="1118" t="s">
        <v>558</v>
      </c>
      <c r="I857" s="1134" t="s">
        <v>559</v>
      </c>
      <c r="J857" s="1420">
        <v>36</v>
      </c>
      <c r="K857" s="1420">
        <v>36</v>
      </c>
      <c r="L857" s="1419">
        <v>35000</v>
      </c>
      <c r="M857" s="1420">
        <v>36</v>
      </c>
      <c r="N857" s="1419">
        <v>46000</v>
      </c>
      <c r="O857" s="1420">
        <v>36</v>
      </c>
      <c r="P857" s="1419">
        <v>50000</v>
      </c>
      <c r="Q857" s="1420">
        <v>36</v>
      </c>
      <c r="R857" s="1419">
        <v>55000</v>
      </c>
      <c r="S857" s="1420">
        <v>36</v>
      </c>
      <c r="T857" s="1419">
        <v>60000</v>
      </c>
      <c r="U857" s="1420">
        <v>36</v>
      </c>
      <c r="V857" s="1419">
        <v>60000</v>
      </c>
      <c r="W857" s="1415">
        <v>216</v>
      </c>
      <c r="X857" s="1416"/>
      <c r="Y857" s="1579" t="s">
        <v>497</v>
      </c>
    </row>
    <row r="858" spans="2:25" s="210" customFormat="1" ht="76.5" x14ac:dyDescent="0.25">
      <c r="B858" s="1763"/>
      <c r="C858" s="1124"/>
      <c r="D858" s="1124"/>
      <c r="E858" s="1124"/>
      <c r="F858" s="1124"/>
      <c r="G858" s="1118" t="s">
        <v>560</v>
      </c>
      <c r="H858" s="1118" t="s">
        <v>561</v>
      </c>
      <c r="I858" s="1134" t="s">
        <v>364</v>
      </c>
      <c r="J858" s="1417">
        <v>32</v>
      </c>
      <c r="K858" s="1420">
        <v>48</v>
      </c>
      <c r="L858" s="1419">
        <v>300000</v>
      </c>
      <c r="M858" s="1420">
        <v>48</v>
      </c>
      <c r="N858" s="1419">
        <v>310000</v>
      </c>
      <c r="O858" s="1420">
        <v>48</v>
      </c>
      <c r="P858" s="1419">
        <v>340000</v>
      </c>
      <c r="Q858" s="1420">
        <v>48</v>
      </c>
      <c r="R858" s="1419">
        <v>360000</v>
      </c>
      <c r="S858" s="1420">
        <v>64</v>
      </c>
      <c r="T858" s="1419">
        <v>375000</v>
      </c>
      <c r="U858" s="1420">
        <v>64</v>
      </c>
      <c r="V858" s="1419">
        <v>375000</v>
      </c>
      <c r="W858" s="1415">
        <v>288</v>
      </c>
      <c r="X858" s="1416"/>
      <c r="Y858" s="1579" t="s">
        <v>497</v>
      </c>
    </row>
    <row r="859" spans="2:25" s="210" customFormat="1" ht="51" x14ac:dyDescent="0.25">
      <c r="B859" s="1763"/>
      <c r="C859" s="1124"/>
      <c r="D859" s="1124"/>
      <c r="E859" s="1124"/>
      <c r="F859" s="1124"/>
      <c r="G859" s="1118" t="s">
        <v>562</v>
      </c>
      <c r="H859" s="1118" t="s">
        <v>563</v>
      </c>
      <c r="I859" s="1134" t="s">
        <v>554</v>
      </c>
      <c r="J859" s="1417">
        <v>87</v>
      </c>
      <c r="K859" s="1420">
        <v>80</v>
      </c>
      <c r="L859" s="1419">
        <v>115000</v>
      </c>
      <c r="M859" s="1420">
        <v>80</v>
      </c>
      <c r="N859" s="1419">
        <v>121000</v>
      </c>
      <c r="O859" s="1420">
        <v>80</v>
      </c>
      <c r="P859" s="1419">
        <v>133000</v>
      </c>
      <c r="Q859" s="1420">
        <v>80</v>
      </c>
      <c r="R859" s="1419">
        <v>146000</v>
      </c>
      <c r="S859" s="1420">
        <v>80</v>
      </c>
      <c r="T859" s="1419">
        <v>160000</v>
      </c>
      <c r="U859" s="1420">
        <v>80</v>
      </c>
      <c r="V859" s="1419">
        <v>160000</v>
      </c>
      <c r="W859" s="1415">
        <v>487</v>
      </c>
      <c r="X859" s="1416"/>
      <c r="Y859" s="1579" t="s">
        <v>497</v>
      </c>
    </row>
    <row r="860" spans="2:25" s="210" customFormat="1" ht="89.25" x14ac:dyDescent="0.25">
      <c r="B860" s="1763"/>
      <c r="C860" s="1124"/>
      <c r="D860" s="1124"/>
      <c r="E860" s="1124"/>
      <c r="F860" s="1124"/>
      <c r="G860" s="1118" t="s">
        <v>564</v>
      </c>
      <c r="H860" s="1118" t="s">
        <v>565</v>
      </c>
      <c r="I860" s="1134" t="s">
        <v>103</v>
      </c>
      <c r="J860" s="1417">
        <v>24</v>
      </c>
      <c r="K860" s="1417">
        <v>24</v>
      </c>
      <c r="L860" s="1419">
        <v>145000</v>
      </c>
      <c r="M860" s="1417">
        <v>24</v>
      </c>
      <c r="N860" s="1419">
        <v>155000</v>
      </c>
      <c r="O860" s="1417">
        <v>24</v>
      </c>
      <c r="P860" s="1419">
        <v>165000</v>
      </c>
      <c r="Q860" s="1417">
        <v>24</v>
      </c>
      <c r="R860" s="1419">
        <v>175000</v>
      </c>
      <c r="S860" s="1417">
        <v>24</v>
      </c>
      <c r="T860" s="1419">
        <v>185000</v>
      </c>
      <c r="U860" s="1417">
        <v>24</v>
      </c>
      <c r="V860" s="1419">
        <v>185000</v>
      </c>
      <c r="W860" s="1415">
        <v>144</v>
      </c>
      <c r="X860" s="1416"/>
      <c r="Y860" s="1579" t="s">
        <v>497</v>
      </c>
    </row>
    <row r="861" spans="2:25" s="210" customFormat="1" ht="38.25" x14ac:dyDescent="0.25">
      <c r="B861" s="1763"/>
      <c r="C861" s="1124"/>
      <c r="D861" s="1124"/>
      <c r="E861" s="1124"/>
      <c r="F861" s="1124"/>
      <c r="G861" s="1118" t="s">
        <v>566</v>
      </c>
      <c r="H861" s="1118" t="s">
        <v>567</v>
      </c>
      <c r="I861" s="1134" t="s">
        <v>103</v>
      </c>
      <c r="J861" s="1417">
        <v>1</v>
      </c>
      <c r="K861" s="1417">
        <v>1</v>
      </c>
      <c r="L861" s="1419">
        <v>26000</v>
      </c>
      <c r="M861" s="1417">
        <v>1</v>
      </c>
      <c r="N861" s="1419">
        <v>27500</v>
      </c>
      <c r="O861" s="1417">
        <v>1</v>
      </c>
      <c r="P861" s="1419">
        <v>30000</v>
      </c>
      <c r="Q861" s="1417">
        <v>1</v>
      </c>
      <c r="R861" s="1419">
        <v>33000</v>
      </c>
      <c r="S861" s="1417">
        <v>1</v>
      </c>
      <c r="T861" s="1419">
        <v>36500</v>
      </c>
      <c r="U861" s="1417">
        <v>1</v>
      </c>
      <c r="V861" s="1419">
        <v>36500</v>
      </c>
      <c r="W861" s="1415">
        <v>6</v>
      </c>
      <c r="X861" s="1416"/>
      <c r="Y861" s="1579" t="s">
        <v>497</v>
      </c>
    </row>
    <row r="862" spans="2:25" s="210" customFormat="1" ht="51" x14ac:dyDescent="0.25">
      <c r="B862" s="1763"/>
      <c r="C862" s="1124"/>
      <c r="D862" s="1124"/>
      <c r="E862" s="1124"/>
      <c r="F862" s="1124"/>
      <c r="G862" s="1118" t="s">
        <v>568</v>
      </c>
      <c r="H862" s="1118" t="s">
        <v>569</v>
      </c>
      <c r="I862" s="1134" t="s">
        <v>0</v>
      </c>
      <c r="J862" s="1417">
        <v>12</v>
      </c>
      <c r="K862" s="1420">
        <v>12</v>
      </c>
      <c r="L862" s="1419">
        <v>35000</v>
      </c>
      <c r="M862" s="1420">
        <v>12</v>
      </c>
      <c r="N862" s="1419">
        <v>40000</v>
      </c>
      <c r="O862" s="1420">
        <v>12</v>
      </c>
      <c r="P862" s="1419">
        <v>44000</v>
      </c>
      <c r="Q862" s="1420">
        <v>12</v>
      </c>
      <c r="R862" s="1419">
        <v>50000</v>
      </c>
      <c r="S862" s="1417">
        <v>12</v>
      </c>
      <c r="T862" s="1419">
        <v>55000</v>
      </c>
      <c r="U862" s="1417">
        <v>12</v>
      </c>
      <c r="V862" s="1419">
        <v>55000</v>
      </c>
      <c r="W862" s="1415">
        <v>72</v>
      </c>
      <c r="X862" s="1416"/>
      <c r="Y862" s="1579" t="s">
        <v>497</v>
      </c>
    </row>
    <row r="863" spans="2:25" s="210" customFormat="1" ht="38.25" x14ac:dyDescent="0.25">
      <c r="B863" s="1763"/>
      <c r="C863" s="1124"/>
      <c r="D863" s="1124"/>
      <c r="E863" s="1124"/>
      <c r="F863" s="1124"/>
      <c r="G863" s="1118" t="s">
        <v>570</v>
      </c>
      <c r="H863" s="1118" t="s">
        <v>571</v>
      </c>
      <c r="I863" s="1134" t="s">
        <v>0</v>
      </c>
      <c r="J863" s="1417">
        <v>28</v>
      </c>
      <c r="K863" s="1420">
        <v>28</v>
      </c>
      <c r="L863" s="1419">
        <v>45000</v>
      </c>
      <c r="M863" s="1420">
        <v>28</v>
      </c>
      <c r="N863" s="1419">
        <v>50000</v>
      </c>
      <c r="O863" s="1420">
        <v>28</v>
      </c>
      <c r="P863" s="1419">
        <v>55000</v>
      </c>
      <c r="Q863" s="1420">
        <v>28</v>
      </c>
      <c r="R863" s="1419">
        <v>60000</v>
      </c>
      <c r="S863" s="1420">
        <v>28</v>
      </c>
      <c r="T863" s="1419">
        <v>66000</v>
      </c>
      <c r="U863" s="1420">
        <v>28</v>
      </c>
      <c r="V863" s="1419">
        <v>66000</v>
      </c>
      <c r="W863" s="1415">
        <v>168</v>
      </c>
      <c r="X863" s="1416"/>
      <c r="Y863" s="1579" t="s">
        <v>497</v>
      </c>
    </row>
    <row r="864" spans="2:25" s="210" customFormat="1" ht="38.25" x14ac:dyDescent="0.25">
      <c r="B864" s="1763"/>
      <c r="C864" s="1124"/>
      <c r="D864" s="1124"/>
      <c r="E864" s="1124"/>
      <c r="F864" s="1124"/>
      <c r="G864" s="1118" t="s">
        <v>572</v>
      </c>
      <c r="H864" s="1118" t="s">
        <v>573</v>
      </c>
      <c r="I864" s="1134" t="s">
        <v>0</v>
      </c>
      <c r="J864" s="1417">
        <v>16</v>
      </c>
      <c r="K864" s="1420">
        <v>20</v>
      </c>
      <c r="L864" s="1419">
        <v>135000</v>
      </c>
      <c r="M864" s="1420">
        <v>22</v>
      </c>
      <c r="N864" s="1419">
        <v>150000</v>
      </c>
      <c r="O864" s="1420">
        <v>24</v>
      </c>
      <c r="P864" s="1419">
        <v>165000</v>
      </c>
      <c r="Q864" s="1420">
        <v>24</v>
      </c>
      <c r="R864" s="1419">
        <v>180000</v>
      </c>
      <c r="S864" s="1420">
        <v>24</v>
      </c>
      <c r="T864" s="1419">
        <v>200000</v>
      </c>
      <c r="U864" s="1420">
        <v>24</v>
      </c>
      <c r="V864" s="1419">
        <v>200000</v>
      </c>
      <c r="W864" s="1415">
        <v>24</v>
      </c>
      <c r="X864" s="1416"/>
      <c r="Y864" s="1579" t="s">
        <v>497</v>
      </c>
    </row>
    <row r="865" spans="2:31" s="210" customFormat="1" ht="38.25" x14ac:dyDescent="0.25">
      <c r="B865" s="1763"/>
      <c r="C865" s="1124"/>
      <c r="D865" s="1124"/>
      <c r="E865" s="1124"/>
      <c r="F865" s="1124"/>
      <c r="G865" s="1118" t="s">
        <v>574</v>
      </c>
      <c r="H865" s="1118" t="s">
        <v>575</v>
      </c>
      <c r="I865" s="1134" t="s">
        <v>0</v>
      </c>
      <c r="J865" s="1417">
        <v>0</v>
      </c>
      <c r="K865" s="1420">
        <v>28</v>
      </c>
      <c r="L865" s="1419">
        <v>50000</v>
      </c>
      <c r="M865" s="1420">
        <v>28</v>
      </c>
      <c r="N865" s="1419">
        <v>60000</v>
      </c>
      <c r="O865" s="1420">
        <v>28</v>
      </c>
      <c r="P865" s="1419">
        <v>75000</v>
      </c>
      <c r="Q865" s="1420">
        <v>28</v>
      </c>
      <c r="R865" s="1419">
        <v>80000</v>
      </c>
      <c r="S865" s="1420">
        <v>28</v>
      </c>
      <c r="T865" s="1419">
        <v>85000</v>
      </c>
      <c r="U865" s="1420">
        <v>28</v>
      </c>
      <c r="V865" s="1419">
        <v>85000</v>
      </c>
      <c r="W865" s="1415">
        <v>140</v>
      </c>
      <c r="X865" s="1416"/>
      <c r="Y865" s="1579" t="s">
        <v>497</v>
      </c>
    </row>
    <row r="866" spans="2:31" s="210" customFormat="1" ht="51" x14ac:dyDescent="0.25">
      <c r="B866" s="1763"/>
      <c r="C866" s="1124"/>
      <c r="D866" s="1124"/>
      <c r="E866" s="1124"/>
      <c r="F866" s="1124"/>
      <c r="G866" s="1118" t="s">
        <v>544</v>
      </c>
      <c r="H866" s="1118" t="s">
        <v>545</v>
      </c>
      <c r="I866" s="1134" t="s">
        <v>100</v>
      </c>
      <c r="J866" s="1417">
        <v>4</v>
      </c>
      <c r="K866" s="1417">
        <v>35</v>
      </c>
      <c r="L866" s="1419">
        <f>SUM(L867:L868)</f>
        <v>150000</v>
      </c>
      <c r="M866" s="1417">
        <v>35</v>
      </c>
      <c r="N866" s="1419">
        <f>SUM(N867:N868)</f>
        <v>183730</v>
      </c>
      <c r="O866" s="1417">
        <v>7</v>
      </c>
      <c r="P866" s="1419">
        <f>SUM(P867:P868)</f>
        <v>130000</v>
      </c>
      <c r="Q866" s="1417">
        <v>8</v>
      </c>
      <c r="R866" s="1419">
        <f>SUM(R867:R868)</f>
        <v>140000</v>
      </c>
      <c r="S866" s="1417">
        <v>8</v>
      </c>
      <c r="T866" s="1419">
        <f>SUM(T867:T868)</f>
        <v>150000</v>
      </c>
      <c r="U866" s="1417">
        <v>10</v>
      </c>
      <c r="V866" s="1419">
        <f>SUM(V867:V868)</f>
        <v>150000</v>
      </c>
      <c r="W866" s="1415">
        <v>97</v>
      </c>
      <c r="X866" s="1416"/>
      <c r="Y866" s="1579" t="s">
        <v>497</v>
      </c>
    </row>
    <row r="867" spans="2:31" s="210" customFormat="1" ht="76.5" x14ac:dyDescent="0.25">
      <c r="B867" s="1763"/>
      <c r="C867" s="1124"/>
      <c r="D867" s="1124"/>
      <c r="E867" s="1124"/>
      <c r="F867" s="1124"/>
      <c r="G867" s="1117" t="s">
        <v>546</v>
      </c>
      <c r="H867" s="1118" t="s">
        <v>547</v>
      </c>
      <c r="I867" s="1134" t="s">
        <v>100</v>
      </c>
      <c r="J867" s="1417">
        <v>5</v>
      </c>
      <c r="K867" s="1417">
        <v>35</v>
      </c>
      <c r="L867" s="1419">
        <v>100000</v>
      </c>
      <c r="M867" s="1417">
        <v>15</v>
      </c>
      <c r="N867" s="1419">
        <v>128730</v>
      </c>
      <c r="O867" s="1417">
        <v>6</v>
      </c>
      <c r="P867" s="1419">
        <v>65000</v>
      </c>
      <c r="Q867" s="1417">
        <v>7</v>
      </c>
      <c r="R867" s="1419">
        <v>70000</v>
      </c>
      <c r="S867" s="1417">
        <v>8</v>
      </c>
      <c r="T867" s="1419">
        <v>75000</v>
      </c>
      <c r="U867" s="1417">
        <v>8</v>
      </c>
      <c r="V867" s="1419">
        <v>75000</v>
      </c>
      <c r="W867" s="1415">
        <v>76</v>
      </c>
      <c r="X867" s="1416"/>
      <c r="Y867" s="1579" t="s">
        <v>497</v>
      </c>
    </row>
    <row r="868" spans="2:31" s="210" customFormat="1" ht="76.5" x14ac:dyDescent="0.25">
      <c r="B868" s="1763"/>
      <c r="C868" s="1124"/>
      <c r="D868" s="1124"/>
      <c r="E868" s="1124"/>
      <c r="F868" s="1421"/>
      <c r="G868" s="1117" t="s">
        <v>548</v>
      </c>
      <c r="H868" s="1117" t="s">
        <v>549</v>
      </c>
      <c r="I868" s="1422" t="s">
        <v>100</v>
      </c>
      <c r="J868" s="1423">
        <v>0</v>
      </c>
      <c r="K868" s="1423">
        <v>8</v>
      </c>
      <c r="L868" s="1424">
        <v>50000</v>
      </c>
      <c r="M868" s="1423">
        <v>5</v>
      </c>
      <c r="N868" s="1424">
        <v>55000</v>
      </c>
      <c r="O868" s="1423">
        <v>5</v>
      </c>
      <c r="P868" s="1424">
        <v>65000</v>
      </c>
      <c r="Q868" s="1423">
        <v>6</v>
      </c>
      <c r="R868" s="1424">
        <v>70000</v>
      </c>
      <c r="S868" s="1423">
        <v>7</v>
      </c>
      <c r="T868" s="1424">
        <v>75000</v>
      </c>
      <c r="U868" s="1423">
        <v>7</v>
      </c>
      <c r="V868" s="1424">
        <v>75000</v>
      </c>
      <c r="W868" s="1425">
        <v>31</v>
      </c>
      <c r="X868" s="1426"/>
      <c r="Y868" s="1579" t="s">
        <v>497</v>
      </c>
    </row>
    <row r="869" spans="2:31" s="210" customFormat="1" ht="13.5" thickBot="1" x14ac:dyDescent="0.3">
      <c r="B869" s="1589" t="s">
        <v>1816</v>
      </c>
      <c r="C869" s="1590"/>
      <c r="D869" s="1590"/>
      <c r="E869" s="1591"/>
      <c r="F869" s="1428"/>
      <c r="G869" s="1428"/>
      <c r="H869" s="1428"/>
      <c r="I869" s="1429"/>
      <c r="J869" s="1430"/>
      <c r="K869" s="1431"/>
      <c r="L869" s="1592">
        <f>SUM(L822:L868)/2</f>
        <v>2065000</v>
      </c>
      <c r="M869" s="1431"/>
      <c r="N869" s="1592">
        <f>SUM(N822:N868)/2</f>
        <v>2523730</v>
      </c>
      <c r="O869" s="1431"/>
      <c r="P869" s="1592">
        <f>SUM(P822:P868)/2</f>
        <v>2424100</v>
      </c>
      <c r="Q869" s="1431"/>
      <c r="R869" s="1592">
        <f>SUM(R822:R868)/2</f>
        <v>2646000</v>
      </c>
      <c r="S869" s="1431"/>
      <c r="T869" s="1592">
        <f>SUM(T822:T868)/2</f>
        <v>2884000</v>
      </c>
      <c r="U869" s="1431"/>
      <c r="V869" s="1592">
        <f>SUM(V822:V868)/2</f>
        <v>2884000</v>
      </c>
      <c r="W869" s="1432"/>
      <c r="X869" s="1433"/>
      <c r="Y869" s="1434"/>
    </row>
    <row r="870" spans="2:31" s="210" customFormat="1" ht="13.5" thickTop="1" x14ac:dyDescent="0.25">
      <c r="E870" s="1435"/>
      <c r="I870" s="1381"/>
      <c r="L870" s="875"/>
      <c r="N870" s="875"/>
      <c r="P870" s="875"/>
      <c r="R870" s="875"/>
      <c r="T870" s="875"/>
      <c r="V870" s="875"/>
    </row>
    <row r="871" spans="2:31" s="210" customFormat="1" ht="13.5" thickBot="1" x14ac:dyDescent="0.3">
      <c r="B871" s="219" t="s">
        <v>1800</v>
      </c>
      <c r="E871" s="674"/>
      <c r="I871" s="1381"/>
      <c r="L871" s="875"/>
      <c r="N871" s="875"/>
      <c r="P871" s="875"/>
      <c r="R871" s="875"/>
      <c r="T871" s="875"/>
      <c r="V871" s="875"/>
    </row>
    <row r="872" spans="2:31" ht="13.5" thickTop="1" x14ac:dyDescent="0.25">
      <c r="B872" s="2045" t="s">
        <v>494</v>
      </c>
      <c r="C872" s="2040" t="s">
        <v>752</v>
      </c>
      <c r="D872" s="2040" t="s">
        <v>576</v>
      </c>
      <c r="E872" s="2040" t="s">
        <v>577</v>
      </c>
      <c r="F872" s="2040" t="s">
        <v>3127</v>
      </c>
      <c r="G872" s="2040" t="s">
        <v>3128</v>
      </c>
      <c r="H872" s="2040" t="s">
        <v>966</v>
      </c>
      <c r="I872" s="2040" t="s">
        <v>421</v>
      </c>
      <c r="J872" s="2055" t="s">
        <v>967</v>
      </c>
      <c r="K872" s="2053" t="s">
        <v>7</v>
      </c>
      <c r="L872" s="2054"/>
      <c r="M872" s="2054"/>
      <c r="N872" s="2054"/>
      <c r="O872" s="2054"/>
      <c r="P872" s="2054"/>
      <c r="Q872" s="2054"/>
      <c r="R872" s="2054"/>
      <c r="S872" s="2054"/>
      <c r="T872" s="2054"/>
      <c r="U872" s="2054"/>
      <c r="V872" s="2054"/>
      <c r="W872" s="2054"/>
      <c r="X872" s="2040" t="s">
        <v>653</v>
      </c>
      <c r="Y872" s="2049" t="s">
        <v>1147</v>
      </c>
    </row>
    <row r="873" spans="2:31" x14ac:dyDescent="0.25">
      <c r="B873" s="2046"/>
      <c r="C873" s="2041"/>
      <c r="D873" s="2041"/>
      <c r="E873" s="2041"/>
      <c r="F873" s="2041"/>
      <c r="G873" s="2041"/>
      <c r="H873" s="2041"/>
      <c r="I873" s="2041"/>
      <c r="J873" s="2052"/>
      <c r="K873" s="2051" t="s">
        <v>114</v>
      </c>
      <c r="L873" s="2038"/>
      <c r="M873" s="2051" t="s">
        <v>115</v>
      </c>
      <c r="N873" s="2038"/>
      <c r="O873" s="2051" t="s">
        <v>116</v>
      </c>
      <c r="P873" s="2038"/>
      <c r="Q873" s="2051" t="s">
        <v>117</v>
      </c>
      <c r="R873" s="2038"/>
      <c r="S873" s="2051" t="s">
        <v>118</v>
      </c>
      <c r="T873" s="2038"/>
      <c r="U873" s="2051" t="s">
        <v>119</v>
      </c>
      <c r="V873" s="2038"/>
      <c r="W873" s="2052" t="s">
        <v>968</v>
      </c>
      <c r="X873" s="2041"/>
      <c r="Y873" s="2050"/>
    </row>
    <row r="874" spans="2:31" x14ac:dyDescent="0.25">
      <c r="B874" s="2046"/>
      <c r="C874" s="2041"/>
      <c r="D874" s="2041"/>
      <c r="E874" s="2041"/>
      <c r="F874" s="2041"/>
      <c r="G874" s="2041"/>
      <c r="H874" s="2041"/>
      <c r="I874" s="2041"/>
      <c r="J874" s="2052"/>
      <c r="K874" s="1263" t="s">
        <v>9</v>
      </c>
      <c r="L874" s="1503" t="s">
        <v>3107</v>
      </c>
      <c r="M874" s="1263" t="s">
        <v>9</v>
      </c>
      <c r="N874" s="1503" t="s">
        <v>1355</v>
      </c>
      <c r="O874" s="1263" t="s">
        <v>9</v>
      </c>
      <c r="P874" s="1503" t="s">
        <v>1355</v>
      </c>
      <c r="Q874" s="1263" t="s">
        <v>9</v>
      </c>
      <c r="R874" s="1503" t="s">
        <v>1355</v>
      </c>
      <c r="S874" s="1263" t="s">
        <v>9</v>
      </c>
      <c r="T874" s="1503" t="s">
        <v>1355</v>
      </c>
      <c r="U874" s="1263" t="s">
        <v>9</v>
      </c>
      <c r="V874" s="1503" t="s">
        <v>1355</v>
      </c>
      <c r="W874" s="2052"/>
      <c r="X874" s="2041"/>
      <c r="Y874" s="2050"/>
    </row>
    <row r="875" spans="2:31" s="1239" customFormat="1" x14ac:dyDescent="0.25">
      <c r="B875" s="1504" t="s">
        <v>586</v>
      </c>
      <c r="C875" s="1448" t="s">
        <v>585</v>
      </c>
      <c r="D875" s="1448" t="s">
        <v>654</v>
      </c>
      <c r="E875" s="1448" t="s">
        <v>655</v>
      </c>
      <c r="F875" s="1505" t="s">
        <v>32</v>
      </c>
      <c r="G875" s="933">
        <v>6</v>
      </c>
      <c r="H875" s="1505">
        <v>7</v>
      </c>
      <c r="I875" s="1445" t="s">
        <v>3065</v>
      </c>
      <c r="J875" s="1269" t="s">
        <v>3066</v>
      </c>
      <c r="K875" s="1269" t="s">
        <v>3067</v>
      </c>
      <c r="L875" s="1506" t="s">
        <v>3068</v>
      </c>
      <c r="M875" s="1269" t="s">
        <v>3069</v>
      </c>
      <c r="N875" s="1506">
        <v>13</v>
      </c>
      <c r="O875" s="1269">
        <v>14</v>
      </c>
      <c r="P875" s="1506">
        <v>15</v>
      </c>
      <c r="Q875" s="1269">
        <v>16</v>
      </c>
      <c r="R875" s="1506">
        <v>17</v>
      </c>
      <c r="S875" s="1269">
        <v>18</v>
      </c>
      <c r="T875" s="1506">
        <v>19</v>
      </c>
      <c r="U875" s="1269">
        <v>20</v>
      </c>
      <c r="V875" s="1506">
        <v>21</v>
      </c>
      <c r="W875" s="1269">
        <v>22</v>
      </c>
      <c r="X875" s="1445">
        <v>23</v>
      </c>
      <c r="Y875" s="1507">
        <v>24</v>
      </c>
    </row>
    <row r="876" spans="2:31" s="210" customFormat="1" ht="111" customHeight="1" x14ac:dyDescent="0.25">
      <c r="B876" s="2011" t="s">
        <v>2968</v>
      </c>
      <c r="C876" s="2013" t="s">
        <v>3943</v>
      </c>
      <c r="D876" s="2013" t="s">
        <v>3944</v>
      </c>
      <c r="E876" s="2013" t="s">
        <v>4027</v>
      </c>
      <c r="F876" s="673" t="s">
        <v>1806</v>
      </c>
      <c r="G876" s="173" t="s">
        <v>3945</v>
      </c>
      <c r="H876" s="673"/>
      <c r="I876" s="1249" t="s">
        <v>8</v>
      </c>
      <c r="J876" s="885">
        <v>0</v>
      </c>
      <c r="K876" s="885">
        <v>1</v>
      </c>
      <c r="L876" s="1436"/>
      <c r="M876" s="885">
        <v>2</v>
      </c>
      <c r="N876" s="1436"/>
      <c r="O876" s="885">
        <v>3</v>
      </c>
      <c r="P876" s="1436"/>
      <c r="Q876" s="885">
        <v>4</v>
      </c>
      <c r="R876" s="1436"/>
      <c r="S876" s="885">
        <v>5</v>
      </c>
      <c r="T876" s="1436"/>
      <c r="U876" s="885">
        <v>6</v>
      </c>
      <c r="V876" s="1436"/>
      <c r="W876" s="885">
        <v>6</v>
      </c>
      <c r="X876" s="948"/>
      <c r="Y876" s="1593" t="s">
        <v>1800</v>
      </c>
      <c r="AB876" s="1194" t="s">
        <v>2968</v>
      </c>
      <c r="AC876" s="673" t="s">
        <v>753</v>
      </c>
      <c r="AD876" s="673" t="s">
        <v>754</v>
      </c>
      <c r="AE876" s="673" t="s">
        <v>755</v>
      </c>
    </row>
    <row r="877" spans="2:31" s="210" customFormat="1" ht="38.25" x14ac:dyDescent="0.25">
      <c r="B877" s="2012"/>
      <c r="C877" s="2014"/>
      <c r="D877" s="2014"/>
      <c r="E877" s="2014"/>
      <c r="F877" s="674"/>
      <c r="G877" s="173" t="s">
        <v>3064</v>
      </c>
      <c r="H877" s="173" t="s">
        <v>1806</v>
      </c>
      <c r="I877" s="1249" t="s">
        <v>1413</v>
      </c>
      <c r="J877" s="885">
        <v>0</v>
      </c>
      <c r="K877" s="885">
        <v>1</v>
      </c>
      <c r="L877" s="1436">
        <f>L878</f>
        <v>125000</v>
      </c>
      <c r="M877" s="885">
        <v>2</v>
      </c>
      <c r="N877" s="1436">
        <f>N878</f>
        <v>137500</v>
      </c>
      <c r="O877" s="885">
        <v>3</v>
      </c>
      <c r="P877" s="1436">
        <f>P878</f>
        <v>151250</v>
      </c>
      <c r="Q877" s="885">
        <v>4</v>
      </c>
      <c r="R877" s="1436">
        <f>R878</f>
        <v>166375</v>
      </c>
      <c r="S877" s="885">
        <v>5</v>
      </c>
      <c r="T877" s="1436">
        <f>T878</f>
        <v>183000</v>
      </c>
      <c r="U877" s="885">
        <v>6</v>
      </c>
      <c r="V877" s="1436">
        <f>V878</f>
        <v>200000</v>
      </c>
      <c r="W877" s="885">
        <v>6</v>
      </c>
      <c r="X877" s="948"/>
      <c r="Y877" s="1593" t="s">
        <v>1800</v>
      </c>
      <c r="AB877" s="229"/>
      <c r="AC877" s="674"/>
      <c r="AD877" s="674"/>
      <c r="AE877" s="674"/>
    </row>
    <row r="878" spans="2:31" s="210" customFormat="1" ht="93.75" customHeight="1" x14ac:dyDescent="0.25">
      <c r="B878" s="2015"/>
      <c r="C878" s="2044"/>
      <c r="D878" s="2044"/>
      <c r="E878" s="2044"/>
      <c r="F878" s="675"/>
      <c r="G878" s="673" t="s">
        <v>1807</v>
      </c>
      <c r="H878" s="673" t="s">
        <v>4026</v>
      </c>
      <c r="I878" s="1249" t="s">
        <v>79</v>
      </c>
      <c r="J878" s="885">
        <v>0</v>
      </c>
      <c r="K878" s="885">
        <v>1</v>
      </c>
      <c r="L878" s="1436">
        <v>125000</v>
      </c>
      <c r="M878" s="885">
        <v>1</v>
      </c>
      <c r="N878" s="1436">
        <v>137500</v>
      </c>
      <c r="O878" s="885">
        <v>1</v>
      </c>
      <c r="P878" s="1436">
        <v>151250</v>
      </c>
      <c r="Q878" s="885">
        <v>1</v>
      </c>
      <c r="R878" s="1436">
        <v>166375</v>
      </c>
      <c r="S878" s="885">
        <v>1</v>
      </c>
      <c r="T878" s="1436">
        <v>183000</v>
      </c>
      <c r="U878" s="885">
        <v>1</v>
      </c>
      <c r="V878" s="1436">
        <v>200000</v>
      </c>
      <c r="W878" s="885">
        <v>6</v>
      </c>
      <c r="X878" s="885"/>
      <c r="Y878" s="1593" t="s">
        <v>1800</v>
      </c>
      <c r="AB878" s="229"/>
      <c r="AC878" s="674"/>
      <c r="AD878" s="674"/>
      <c r="AE878" s="674"/>
    </row>
    <row r="879" spans="2:31" s="210" customFormat="1" x14ac:dyDescent="0.25">
      <c r="B879" s="1485"/>
      <c r="C879" s="675"/>
      <c r="D879" s="675"/>
      <c r="E879" s="675"/>
      <c r="F879" s="675"/>
      <c r="G879" s="673"/>
      <c r="H879" s="673"/>
      <c r="I879" s="1249"/>
      <c r="J879" s="885"/>
      <c r="K879" s="885"/>
      <c r="L879" s="1436"/>
      <c r="M879" s="885"/>
      <c r="N879" s="1436"/>
      <c r="O879" s="885"/>
      <c r="P879" s="1436"/>
      <c r="Q879" s="885"/>
      <c r="R879" s="1436"/>
      <c r="S879" s="885"/>
      <c r="T879" s="1436"/>
      <c r="U879" s="885"/>
      <c r="V879" s="1436"/>
      <c r="W879" s="885"/>
      <c r="X879" s="885"/>
      <c r="Y879" s="1593"/>
      <c r="AB879" s="1195"/>
      <c r="AC879" s="675"/>
      <c r="AD879" s="675"/>
      <c r="AE879" s="675"/>
    </row>
    <row r="880" spans="2:31" s="210" customFormat="1" ht="38.25" x14ac:dyDescent="0.25">
      <c r="B880" s="2021" t="s">
        <v>1462</v>
      </c>
      <c r="C880" s="2019" t="s">
        <v>348</v>
      </c>
      <c r="D880" s="2019" t="s">
        <v>3139</v>
      </c>
      <c r="E880" s="2013" t="s">
        <v>3946</v>
      </c>
      <c r="F880" s="673" t="s">
        <v>1689</v>
      </c>
      <c r="G880" s="1755" t="s">
        <v>3971</v>
      </c>
      <c r="H880" s="948"/>
      <c r="I880" s="1249" t="s">
        <v>19</v>
      </c>
      <c r="J880" s="706">
        <v>91.247535721850198</v>
      </c>
      <c r="K880" s="1782">
        <v>92.86</v>
      </c>
      <c r="L880" s="1783"/>
      <c r="M880" s="1784">
        <v>95.26</v>
      </c>
      <c r="O880" s="1785">
        <v>97.66</v>
      </c>
      <c r="P880" s="1436"/>
      <c r="Q880" s="1785">
        <v>100</v>
      </c>
      <c r="R880" s="1436"/>
      <c r="S880" s="1785">
        <v>100</v>
      </c>
      <c r="T880" s="1436"/>
      <c r="U880" s="1785">
        <v>100</v>
      </c>
      <c r="V880" s="1436"/>
      <c r="W880" s="885">
        <v>100</v>
      </c>
      <c r="X880" s="948"/>
      <c r="Y880" s="1593" t="s">
        <v>1800</v>
      </c>
    </row>
    <row r="881" spans="2:25" s="210" customFormat="1" ht="38.25" x14ac:dyDescent="0.25">
      <c r="B881" s="2021"/>
      <c r="C881" s="2019"/>
      <c r="D881" s="2019"/>
      <c r="E881" s="2014"/>
      <c r="F881" s="1478"/>
      <c r="G881" s="675" t="s">
        <v>1690</v>
      </c>
      <c r="H881" s="1740" t="s">
        <v>1691</v>
      </c>
      <c r="I881" s="1737" t="s">
        <v>75</v>
      </c>
      <c r="J881" s="1764" t="s">
        <v>3837</v>
      </c>
      <c r="K881" s="1438">
        <v>4969</v>
      </c>
      <c r="L881" s="1439">
        <f>L882</f>
        <v>600000</v>
      </c>
      <c r="M881" s="1438">
        <v>7370</v>
      </c>
      <c r="N881" s="1439">
        <f>N882</f>
        <v>1007800</v>
      </c>
      <c r="O881" s="1438">
        <v>7370</v>
      </c>
      <c r="P881" s="1439">
        <f>P882</f>
        <v>1007800</v>
      </c>
      <c r="Q881" s="1438">
        <v>7199</v>
      </c>
      <c r="R881" s="1439">
        <f>R882</f>
        <v>1007800</v>
      </c>
      <c r="S881" s="1438">
        <v>0</v>
      </c>
      <c r="T881" s="1439">
        <f>T882</f>
        <v>1007800</v>
      </c>
      <c r="U881" s="1438">
        <v>5000</v>
      </c>
      <c r="V881" s="1439">
        <f>V882</f>
        <v>1007800</v>
      </c>
      <c r="W881" s="1440">
        <f>K881+M881+O881+Q881+S881</f>
        <v>26908</v>
      </c>
      <c r="X881" s="1440"/>
      <c r="Y881" s="1593" t="s">
        <v>1800</v>
      </c>
    </row>
    <row r="882" spans="2:25" s="210" customFormat="1" ht="63.75" x14ac:dyDescent="0.25">
      <c r="B882" s="2021"/>
      <c r="C882" s="2019"/>
      <c r="D882" s="2019"/>
      <c r="E882" s="2044"/>
      <c r="F882" s="675"/>
      <c r="G882" s="1740" t="s">
        <v>1692</v>
      </c>
      <c r="H882" s="1740" t="s">
        <v>3947</v>
      </c>
      <c r="I882" s="1473" t="s">
        <v>75</v>
      </c>
      <c r="J882" s="1437"/>
      <c r="K882" s="1438">
        <v>4969</v>
      </c>
      <c r="L882" s="1439">
        <f>600000000/1000</f>
        <v>600000</v>
      </c>
      <c r="M882" s="1438">
        <v>7370</v>
      </c>
      <c r="N882" s="1439">
        <f>1007800000/1000</f>
        <v>1007800</v>
      </c>
      <c r="O882" s="1438">
        <v>7370</v>
      </c>
      <c r="P882" s="1439">
        <f>1007800000/1000</f>
        <v>1007800</v>
      </c>
      <c r="Q882" s="1438">
        <v>7199</v>
      </c>
      <c r="R882" s="1439">
        <f>1007800000/1000</f>
        <v>1007800</v>
      </c>
      <c r="S882" s="1438">
        <v>0</v>
      </c>
      <c r="T882" s="1439">
        <f>1007800000/1000</f>
        <v>1007800</v>
      </c>
      <c r="U882" s="1438">
        <v>5000</v>
      </c>
      <c r="V882" s="1439">
        <f>1007800000/1000</f>
        <v>1007800</v>
      </c>
      <c r="W882" s="1440"/>
      <c r="X882" s="1440"/>
      <c r="Y882" s="1593" t="s">
        <v>1800</v>
      </c>
    </row>
    <row r="883" spans="2:25" s="210" customFormat="1" x14ac:dyDescent="0.25">
      <c r="B883" s="1485"/>
      <c r="C883" s="1476"/>
      <c r="D883" s="1476"/>
      <c r="E883" s="1479"/>
      <c r="F883" s="675"/>
      <c r="G883" s="1476"/>
      <c r="H883" s="1476"/>
      <c r="I883" s="1473"/>
      <c r="J883" s="1437"/>
      <c r="K883" s="1438"/>
      <c r="L883" s="1439"/>
      <c r="M883" s="1438"/>
      <c r="N883" s="1439"/>
      <c r="O883" s="1438"/>
      <c r="P883" s="1439"/>
      <c r="Q883" s="1438"/>
      <c r="R883" s="1439"/>
      <c r="S883" s="1438"/>
      <c r="T883" s="1439"/>
      <c r="U883" s="1438"/>
      <c r="V883" s="1439"/>
      <c r="W883" s="1440"/>
      <c r="X883" s="1440"/>
      <c r="Y883" s="1593"/>
    </row>
    <row r="884" spans="2:25" s="210" customFormat="1" ht="63.75" customHeight="1" x14ac:dyDescent="0.25">
      <c r="B884" s="2021" t="s">
        <v>33</v>
      </c>
      <c r="C884" s="2042" t="s">
        <v>34</v>
      </c>
      <c r="D884" s="2042" t="s">
        <v>3831</v>
      </c>
      <c r="E884" s="2042" t="s">
        <v>3832</v>
      </c>
      <c r="F884" s="2042" t="s">
        <v>3913</v>
      </c>
      <c r="G884" s="173" t="s">
        <v>3948</v>
      </c>
      <c r="H884" s="173" t="s">
        <v>35</v>
      </c>
      <c r="I884" s="1473" t="s">
        <v>19</v>
      </c>
      <c r="J884" s="173">
        <v>90</v>
      </c>
      <c r="K884" s="173">
        <v>91</v>
      </c>
      <c r="L884" s="1447"/>
      <c r="M884" s="173">
        <v>92</v>
      </c>
      <c r="N884" s="1447"/>
      <c r="O884" s="173">
        <v>93</v>
      </c>
      <c r="P884" s="1447"/>
      <c r="Q884" s="173">
        <v>94</v>
      </c>
      <c r="R884" s="1447"/>
      <c r="S884" s="173">
        <v>95</v>
      </c>
      <c r="T884" s="1447"/>
      <c r="U884" s="173">
        <v>96</v>
      </c>
      <c r="V884" s="1447"/>
      <c r="W884" s="173">
        <v>95</v>
      </c>
      <c r="X884" s="173"/>
      <c r="Y884" s="1593" t="s">
        <v>1800</v>
      </c>
    </row>
    <row r="885" spans="2:25" s="210" customFormat="1" ht="63.75" x14ac:dyDescent="0.25">
      <c r="B885" s="2021"/>
      <c r="C885" s="2043"/>
      <c r="D885" s="2043"/>
      <c r="E885" s="2043"/>
      <c r="F885" s="2043"/>
      <c r="G885" s="1476" t="s">
        <v>578</v>
      </c>
      <c r="H885" s="173" t="s">
        <v>122</v>
      </c>
      <c r="I885" s="1473" t="s">
        <v>19</v>
      </c>
      <c r="J885" s="1143">
        <v>100</v>
      </c>
      <c r="K885" s="1475">
        <v>20</v>
      </c>
      <c r="L885" s="1439">
        <f>SUM(L886:L898)</f>
        <v>668161</v>
      </c>
      <c r="M885" s="1475">
        <v>20</v>
      </c>
      <c r="N885" s="1439">
        <f>SUM(N886:N898)</f>
        <v>620000</v>
      </c>
      <c r="O885" s="1475">
        <v>15</v>
      </c>
      <c r="P885" s="1439">
        <f>SUM(P886:P898)</f>
        <v>682000</v>
      </c>
      <c r="Q885" s="1475">
        <v>15</v>
      </c>
      <c r="R885" s="1439">
        <f>SUM(R886:R898)</f>
        <v>750200</v>
      </c>
      <c r="S885" s="1475">
        <v>15</v>
      </c>
      <c r="T885" s="1439">
        <f>SUM(T886:T898)</f>
        <v>825561</v>
      </c>
      <c r="U885" s="1475">
        <v>15</v>
      </c>
      <c r="V885" s="1439">
        <f>SUM(V886:V898)</f>
        <v>908117.1</v>
      </c>
      <c r="W885" s="1440">
        <v>100</v>
      </c>
      <c r="X885" s="1440"/>
      <c r="Y885" s="1593" t="s">
        <v>1800</v>
      </c>
    </row>
    <row r="886" spans="2:25" s="210" customFormat="1" ht="38.25" x14ac:dyDescent="0.25">
      <c r="B886" s="2021"/>
      <c r="C886" s="674"/>
      <c r="D886" s="674"/>
      <c r="E886" s="674"/>
      <c r="F886" s="674"/>
      <c r="G886" s="1476" t="s">
        <v>124</v>
      </c>
      <c r="H886" s="173" t="s">
        <v>1693</v>
      </c>
      <c r="I886" s="1473" t="s">
        <v>40</v>
      </c>
      <c r="J886" s="1143">
        <v>100</v>
      </c>
      <c r="K886" s="1441">
        <v>12</v>
      </c>
      <c r="L886" s="1439">
        <f>2200000/1000</f>
        <v>2200</v>
      </c>
      <c r="M886" s="1441">
        <v>12</v>
      </c>
      <c r="N886" s="1439">
        <f>2200000/1000</f>
        <v>2200</v>
      </c>
      <c r="O886" s="1441">
        <v>12</v>
      </c>
      <c r="P886" s="1439">
        <f>(10%*2200000+2200000/100)/100</f>
        <v>2420</v>
      </c>
      <c r="Q886" s="1441">
        <v>12</v>
      </c>
      <c r="R886" s="1439">
        <f>(10%*2420000+2420000/100)/100</f>
        <v>2662</v>
      </c>
      <c r="S886" s="1441">
        <v>12</v>
      </c>
      <c r="T886" s="1439">
        <f>(10%*2622000+2622000/100)/100</f>
        <v>2884.2</v>
      </c>
      <c r="U886" s="1441">
        <v>12</v>
      </c>
      <c r="V886" s="1439">
        <f>(10%*2884000+2884000/100)/100</f>
        <v>3172.4</v>
      </c>
      <c r="W886" s="1440">
        <f t="shared" ref="W886:W898" si="6">S886+Q886+O886+M886+K886</f>
        <v>60</v>
      </c>
      <c r="X886" s="1440"/>
      <c r="Y886" s="1593" t="s">
        <v>1800</v>
      </c>
    </row>
    <row r="887" spans="2:25" s="210" customFormat="1" ht="63.75" x14ac:dyDescent="0.25">
      <c r="B887" s="2021"/>
      <c r="C887" s="674"/>
      <c r="D887" s="674"/>
      <c r="E887" s="674"/>
      <c r="F887" s="674"/>
      <c r="G887" s="1476" t="s">
        <v>126</v>
      </c>
      <c r="H887" s="173" t="s">
        <v>579</v>
      </c>
      <c r="I887" s="1473" t="s">
        <v>40</v>
      </c>
      <c r="J887" s="1143">
        <v>100</v>
      </c>
      <c r="K887" s="1473">
        <v>12</v>
      </c>
      <c r="L887" s="1439">
        <f>55000000/1000</f>
        <v>55000</v>
      </c>
      <c r="M887" s="1473">
        <v>12</v>
      </c>
      <c r="N887" s="1439">
        <f>80000000/1000</f>
        <v>80000</v>
      </c>
      <c r="O887" s="1473">
        <v>12</v>
      </c>
      <c r="P887" s="1439">
        <f>(10%*80000000+80000000/100)/100</f>
        <v>88000</v>
      </c>
      <c r="Q887" s="1473">
        <v>12</v>
      </c>
      <c r="R887" s="1439">
        <f>(10%*88000000+88000000/100)/100</f>
        <v>96800</v>
      </c>
      <c r="S887" s="1473">
        <v>12</v>
      </c>
      <c r="T887" s="1439">
        <f>(10%*96800000+96800000/100)/100</f>
        <v>106480</v>
      </c>
      <c r="U887" s="1473">
        <v>12</v>
      </c>
      <c r="V887" s="1439">
        <f>(10%*106480000+106480000/100)/100</f>
        <v>117128</v>
      </c>
      <c r="W887" s="1440">
        <f t="shared" si="6"/>
        <v>60</v>
      </c>
      <c r="X887" s="1440"/>
      <c r="Y887" s="1593" t="s">
        <v>1800</v>
      </c>
    </row>
    <row r="888" spans="2:25" s="210" customFormat="1" ht="76.5" x14ac:dyDescent="0.25">
      <c r="B888" s="2021"/>
      <c r="C888" s="674"/>
      <c r="D888" s="674"/>
      <c r="E888" s="674"/>
      <c r="F888" s="674"/>
      <c r="G888" s="1476" t="s">
        <v>43</v>
      </c>
      <c r="H888" s="173" t="s">
        <v>1694</v>
      </c>
      <c r="I888" s="1473" t="s">
        <v>40</v>
      </c>
      <c r="J888" s="1143">
        <v>100</v>
      </c>
      <c r="K888" s="1473">
        <v>12</v>
      </c>
      <c r="L888" s="1439">
        <f>135000000/1000</f>
        <v>135000</v>
      </c>
      <c r="M888" s="1473">
        <v>12</v>
      </c>
      <c r="N888" s="1439">
        <f>100000000/1000</f>
        <v>100000</v>
      </c>
      <c r="O888" s="1473">
        <v>12</v>
      </c>
      <c r="P888" s="1439">
        <f>(10%*100000000+100000000/100)/100</f>
        <v>110000</v>
      </c>
      <c r="Q888" s="1473">
        <v>12</v>
      </c>
      <c r="R888" s="1439">
        <f>(10%*110000000+110000000/100)/100</f>
        <v>121000</v>
      </c>
      <c r="S888" s="1473">
        <v>12</v>
      </c>
      <c r="T888" s="1439">
        <f>(10%*121000000+121000000/100)/100</f>
        <v>133100</v>
      </c>
      <c r="U888" s="1473">
        <v>12</v>
      </c>
      <c r="V888" s="1439">
        <f>(10%*133100000+133100000/100)/100</f>
        <v>146410</v>
      </c>
      <c r="W888" s="1440">
        <f t="shared" si="6"/>
        <v>60</v>
      </c>
      <c r="X888" s="1440"/>
      <c r="Y888" s="1593" t="s">
        <v>1800</v>
      </c>
    </row>
    <row r="889" spans="2:25" s="210" customFormat="1" ht="38.25" x14ac:dyDescent="0.25">
      <c r="B889" s="2021"/>
      <c r="C889" s="674"/>
      <c r="D889" s="674"/>
      <c r="E889" s="674"/>
      <c r="F889" s="674"/>
      <c r="G889" s="1476" t="s">
        <v>45</v>
      </c>
      <c r="H889" s="173" t="s">
        <v>1695</v>
      </c>
      <c r="I889" s="1473" t="s">
        <v>40</v>
      </c>
      <c r="J889" s="1143">
        <v>100</v>
      </c>
      <c r="K889" s="1473">
        <v>12</v>
      </c>
      <c r="L889" s="1439">
        <f>60000000/1000</f>
        <v>60000</v>
      </c>
      <c r="M889" s="1473">
        <v>12</v>
      </c>
      <c r="N889" s="1439">
        <f>60000000/1000</f>
        <v>60000</v>
      </c>
      <c r="O889" s="1473">
        <v>12</v>
      </c>
      <c r="P889" s="1439">
        <f>(10%*60000000+60000000/100)/100</f>
        <v>66000</v>
      </c>
      <c r="Q889" s="1473">
        <v>12</v>
      </c>
      <c r="R889" s="1439">
        <f>(10%*66000000+66000000/100)/100</f>
        <v>72600</v>
      </c>
      <c r="S889" s="1473">
        <v>12</v>
      </c>
      <c r="T889" s="1439">
        <f>(10%*72600000+72600000/100)/100</f>
        <v>79860</v>
      </c>
      <c r="U889" s="1473">
        <v>12</v>
      </c>
      <c r="V889" s="1439">
        <f>(10%*79860000+79860000/100)/100</f>
        <v>87846</v>
      </c>
      <c r="W889" s="1440">
        <f t="shared" si="6"/>
        <v>60</v>
      </c>
      <c r="X889" s="1440"/>
      <c r="Y889" s="1593" t="s">
        <v>1800</v>
      </c>
    </row>
    <row r="890" spans="2:25" s="210" customFormat="1" ht="38.25" x14ac:dyDescent="0.25">
      <c r="B890" s="2021"/>
      <c r="C890" s="674"/>
      <c r="D890" s="674"/>
      <c r="E890" s="674"/>
      <c r="F890" s="674"/>
      <c r="G890" s="1476" t="s">
        <v>47</v>
      </c>
      <c r="H890" s="173" t="s">
        <v>1696</v>
      </c>
      <c r="I890" s="1473" t="s">
        <v>40</v>
      </c>
      <c r="J890" s="1143">
        <v>100</v>
      </c>
      <c r="K890" s="1473">
        <v>12</v>
      </c>
      <c r="L890" s="1439">
        <f>60000000/1000</f>
        <v>60000</v>
      </c>
      <c r="M890" s="1473">
        <v>12</v>
      </c>
      <c r="N890" s="1439">
        <f>60000000/1000</f>
        <v>60000</v>
      </c>
      <c r="O890" s="1473">
        <v>12</v>
      </c>
      <c r="P890" s="1439">
        <f>(10%*60000000+60000000/100)/100</f>
        <v>66000</v>
      </c>
      <c r="Q890" s="1473">
        <v>12</v>
      </c>
      <c r="R890" s="1439">
        <f>(10%*66000000+66000000/100)/100</f>
        <v>72600</v>
      </c>
      <c r="S890" s="1473">
        <v>12</v>
      </c>
      <c r="T890" s="1439">
        <f>(10%*72600000+72600000/100)/100</f>
        <v>79860</v>
      </c>
      <c r="U890" s="1473">
        <v>12</v>
      </c>
      <c r="V890" s="1439">
        <f>(10%*79860000+79860000/100)/100</f>
        <v>87846</v>
      </c>
      <c r="W890" s="1440">
        <f t="shared" si="6"/>
        <v>60</v>
      </c>
      <c r="X890" s="1440"/>
      <c r="Y890" s="1593" t="s">
        <v>1800</v>
      </c>
    </row>
    <row r="891" spans="2:25" s="210" customFormat="1" ht="51" x14ac:dyDescent="0.25">
      <c r="B891" s="2021"/>
      <c r="C891" s="674"/>
      <c r="D891" s="674"/>
      <c r="E891" s="674"/>
      <c r="F891" s="674"/>
      <c r="G891" s="1476" t="s">
        <v>130</v>
      </c>
      <c r="H891" s="173" t="s">
        <v>1697</v>
      </c>
      <c r="I891" s="1473" t="s">
        <v>40</v>
      </c>
      <c r="J891" s="1143">
        <v>100</v>
      </c>
      <c r="K891" s="1473">
        <v>12</v>
      </c>
      <c r="L891" s="1439">
        <f>22000000/1000</f>
        <v>22000</v>
      </c>
      <c r="M891" s="1473">
        <v>12</v>
      </c>
      <c r="N891" s="1439">
        <f>22000000/1000</f>
        <v>22000</v>
      </c>
      <c r="O891" s="1473">
        <v>12</v>
      </c>
      <c r="P891" s="1439">
        <f>(10%*22000000+22000000/100)/100</f>
        <v>24200</v>
      </c>
      <c r="Q891" s="1473">
        <v>12</v>
      </c>
      <c r="R891" s="1439">
        <f>(10%*24200000+24200000/100)/100</f>
        <v>26620</v>
      </c>
      <c r="S891" s="1473">
        <v>12</v>
      </c>
      <c r="T891" s="1439">
        <f>(10%*26620000+26620000/100)/100</f>
        <v>29282</v>
      </c>
      <c r="U891" s="1473">
        <v>12</v>
      </c>
      <c r="V891" s="1439">
        <f>(10%*29282000+29282000/100)/100</f>
        <v>32210.2</v>
      </c>
      <c r="W891" s="1440">
        <f t="shared" si="6"/>
        <v>60</v>
      </c>
      <c r="X891" s="1440"/>
      <c r="Y891" s="1593" t="s">
        <v>1800</v>
      </c>
    </row>
    <row r="892" spans="2:25" s="210" customFormat="1" ht="38.25" x14ac:dyDescent="0.25">
      <c r="B892" s="2021"/>
      <c r="C892" s="674"/>
      <c r="D892" s="674"/>
      <c r="E892" s="674"/>
      <c r="F892" s="674"/>
      <c r="G892" s="1476" t="s">
        <v>50</v>
      </c>
      <c r="H892" s="173" t="s">
        <v>580</v>
      </c>
      <c r="I892" s="1473" t="s">
        <v>40</v>
      </c>
      <c r="J892" s="1143">
        <v>100</v>
      </c>
      <c r="K892" s="1473">
        <v>12</v>
      </c>
      <c r="L892" s="1439">
        <f>54637000/1000</f>
        <v>54637</v>
      </c>
      <c r="M892" s="1473">
        <v>12</v>
      </c>
      <c r="N892" s="1439">
        <v>64636</v>
      </c>
      <c r="O892" s="1473">
        <v>12</v>
      </c>
      <c r="P892" s="1439">
        <f>(10%*64636000+64636000/100)/100</f>
        <v>71099.600000000006</v>
      </c>
      <c r="Q892" s="1473">
        <v>12</v>
      </c>
      <c r="R892" s="1439">
        <f>(10%*71100000+71100000/100)/100</f>
        <v>78210</v>
      </c>
      <c r="S892" s="1473">
        <v>12</v>
      </c>
      <c r="T892" s="1439">
        <f>(10%*78210000+78210000/100)/100</f>
        <v>86031</v>
      </c>
      <c r="U892" s="1473">
        <v>12</v>
      </c>
      <c r="V892" s="1439">
        <f>(10%*86031000+86031000/100)/100</f>
        <v>94634.1</v>
      </c>
      <c r="W892" s="1440">
        <f t="shared" si="6"/>
        <v>60</v>
      </c>
      <c r="X892" s="1440"/>
      <c r="Y892" s="1593" t="s">
        <v>1800</v>
      </c>
    </row>
    <row r="893" spans="2:25" s="210" customFormat="1" ht="51" x14ac:dyDescent="0.25">
      <c r="B893" s="2021"/>
      <c r="C893" s="674"/>
      <c r="D893" s="674"/>
      <c r="E893" s="674"/>
      <c r="F893" s="674"/>
      <c r="G893" s="1476" t="s">
        <v>52</v>
      </c>
      <c r="H893" s="173" t="s">
        <v>1698</v>
      </c>
      <c r="I893" s="1473" t="s">
        <v>40</v>
      </c>
      <c r="J893" s="1143">
        <v>100</v>
      </c>
      <c r="K893" s="1473">
        <v>12</v>
      </c>
      <c r="L893" s="1439">
        <f>32164000/1000</f>
        <v>32164</v>
      </c>
      <c r="M893" s="1473">
        <v>12</v>
      </c>
      <c r="N893" s="1439">
        <v>32164</v>
      </c>
      <c r="O893" s="1473">
        <v>12</v>
      </c>
      <c r="P893" s="1439">
        <f>(10%*32164000+32164000/100)/100</f>
        <v>35380.400000000001</v>
      </c>
      <c r="Q893" s="1473">
        <v>12</v>
      </c>
      <c r="R893" s="1439">
        <f>(10%*35380000+35380000/100)/100</f>
        <v>38918</v>
      </c>
      <c r="S893" s="1473">
        <v>12</v>
      </c>
      <c r="T893" s="1439">
        <f>(10%*38918000+38918000/100)/100</f>
        <v>42809.8</v>
      </c>
      <c r="U893" s="1473">
        <v>12</v>
      </c>
      <c r="V893" s="1439">
        <f>(10%*42810000+42810000/100)/100</f>
        <v>47091</v>
      </c>
      <c r="W893" s="1440">
        <f t="shared" si="6"/>
        <v>60</v>
      </c>
      <c r="X893" s="1440"/>
      <c r="Y893" s="1593" t="s">
        <v>1800</v>
      </c>
    </row>
    <row r="894" spans="2:25" s="210" customFormat="1" ht="76.5" x14ac:dyDescent="0.25">
      <c r="B894" s="2021"/>
      <c r="C894" s="674"/>
      <c r="D894" s="674"/>
      <c r="E894" s="674"/>
      <c r="F894" s="674"/>
      <c r="G894" s="1476" t="s">
        <v>54</v>
      </c>
      <c r="H894" s="173" t="s">
        <v>1699</v>
      </c>
      <c r="I894" s="1473" t="s">
        <v>40</v>
      </c>
      <c r="J894" s="1143">
        <v>100</v>
      </c>
      <c r="K894" s="1473">
        <v>12</v>
      </c>
      <c r="L894" s="1439">
        <f>7000000/1000</f>
        <v>7000</v>
      </c>
      <c r="M894" s="1473">
        <v>12</v>
      </c>
      <c r="N894" s="1439">
        <f>7000000/1000</f>
        <v>7000</v>
      </c>
      <c r="O894" s="1473">
        <v>12</v>
      </c>
      <c r="P894" s="1439">
        <f>(10%*7000000+7000000/100)/100</f>
        <v>7700</v>
      </c>
      <c r="Q894" s="1473">
        <v>12</v>
      </c>
      <c r="R894" s="1439">
        <f>(10%*7700000+7700000/100)/100</f>
        <v>8470</v>
      </c>
      <c r="S894" s="1473">
        <v>12</v>
      </c>
      <c r="T894" s="1439">
        <f>(10%*8470000+8470000/100)/100</f>
        <v>9317</v>
      </c>
      <c r="U894" s="1473">
        <v>12</v>
      </c>
      <c r="V894" s="1439">
        <f>(10%*9317000+9317000/100)/100</f>
        <v>10248.700000000001</v>
      </c>
      <c r="W894" s="1440">
        <f t="shared" si="6"/>
        <v>60</v>
      </c>
      <c r="X894" s="1440"/>
      <c r="Y894" s="1593" t="s">
        <v>1800</v>
      </c>
    </row>
    <row r="895" spans="2:25" s="210" customFormat="1" ht="51" x14ac:dyDescent="0.25">
      <c r="B895" s="2021"/>
      <c r="C895" s="674"/>
      <c r="D895" s="674"/>
      <c r="E895" s="674"/>
      <c r="F895" s="674"/>
      <c r="G895" s="1476" t="s">
        <v>56</v>
      </c>
      <c r="H895" s="173" t="s">
        <v>581</v>
      </c>
      <c r="I895" s="1473" t="s">
        <v>40</v>
      </c>
      <c r="J895" s="1143">
        <v>100</v>
      </c>
      <c r="K895" s="1473">
        <v>12</v>
      </c>
      <c r="L895" s="1439">
        <f>7000000/1000</f>
        <v>7000</v>
      </c>
      <c r="M895" s="1473">
        <v>12</v>
      </c>
      <c r="N895" s="1439">
        <f>7000000/1000</f>
        <v>7000</v>
      </c>
      <c r="O895" s="1473">
        <v>12</v>
      </c>
      <c r="P895" s="1439">
        <f>(10%*7000000+7000000/100)/100</f>
        <v>7700</v>
      </c>
      <c r="Q895" s="1473">
        <v>12</v>
      </c>
      <c r="R895" s="1439">
        <f>(10%*7700000+7700000/100)/100</f>
        <v>8470</v>
      </c>
      <c r="S895" s="1473">
        <v>12</v>
      </c>
      <c r="T895" s="1439">
        <f>(10%*8470000+8470000/100)/100</f>
        <v>9317</v>
      </c>
      <c r="U895" s="1473">
        <v>12</v>
      </c>
      <c r="V895" s="1439">
        <f>(10%*9317000+9317000/100)/100</f>
        <v>10248.700000000001</v>
      </c>
      <c r="W895" s="1440">
        <f t="shared" si="6"/>
        <v>60</v>
      </c>
      <c r="X895" s="1440"/>
      <c r="Y895" s="1593" t="s">
        <v>1800</v>
      </c>
    </row>
    <row r="896" spans="2:25" s="210" customFormat="1" ht="38.25" x14ac:dyDescent="0.25">
      <c r="B896" s="2021"/>
      <c r="C896" s="674"/>
      <c r="D896" s="674"/>
      <c r="E896" s="674"/>
      <c r="F896" s="674"/>
      <c r="G896" s="1476" t="s">
        <v>58</v>
      </c>
      <c r="H896" s="173" t="s">
        <v>582</v>
      </c>
      <c r="I896" s="1473" t="s">
        <v>40</v>
      </c>
      <c r="J896" s="1143">
        <v>100</v>
      </c>
      <c r="K896" s="1441">
        <v>12</v>
      </c>
      <c r="L896" s="1439">
        <f>118175000/1000</f>
        <v>118175</v>
      </c>
      <c r="M896" s="1441">
        <v>12</v>
      </c>
      <c r="N896" s="1439">
        <f>70000000/1000</f>
        <v>70000</v>
      </c>
      <c r="O896" s="1441">
        <v>12</v>
      </c>
      <c r="P896" s="1439">
        <f>(10%*70000000+70000000/100)/100</f>
        <v>77000</v>
      </c>
      <c r="Q896" s="1441">
        <v>12</v>
      </c>
      <c r="R896" s="1439">
        <f>(10%*77000000+77000000/100)/100</f>
        <v>84700</v>
      </c>
      <c r="S896" s="1441">
        <v>12</v>
      </c>
      <c r="T896" s="1439">
        <f>(10%*84700000+84700000/100)/100</f>
        <v>93170</v>
      </c>
      <c r="U896" s="1441">
        <v>12</v>
      </c>
      <c r="V896" s="1439">
        <f>(10%*93170000+93170000/100)/100</f>
        <v>102487</v>
      </c>
      <c r="W896" s="1440">
        <f t="shared" si="6"/>
        <v>60</v>
      </c>
      <c r="X896" s="1440"/>
      <c r="Y896" s="1593" t="s">
        <v>1800</v>
      </c>
    </row>
    <row r="897" spans="2:25" s="210" customFormat="1" ht="76.5" x14ac:dyDescent="0.25">
      <c r="B897" s="2021"/>
      <c r="C897" s="674"/>
      <c r="D897" s="674"/>
      <c r="E897" s="674"/>
      <c r="F897" s="674"/>
      <c r="G897" s="1476" t="s">
        <v>137</v>
      </c>
      <c r="H897" s="173" t="s">
        <v>1700</v>
      </c>
      <c r="I897" s="1473" t="s">
        <v>40</v>
      </c>
      <c r="J897" s="1143">
        <v>100</v>
      </c>
      <c r="K897" s="1473">
        <v>12</v>
      </c>
      <c r="L897" s="1439">
        <f>99985000/1000</f>
        <v>99985</v>
      </c>
      <c r="M897" s="1473">
        <v>12</v>
      </c>
      <c r="N897" s="1439">
        <f>100000000/1000</f>
        <v>100000</v>
      </c>
      <c r="O897" s="1473">
        <v>12</v>
      </c>
      <c r="P897" s="1439">
        <f>(10%*100000000+100000000/100)/100</f>
        <v>110000</v>
      </c>
      <c r="Q897" s="1473">
        <v>12</v>
      </c>
      <c r="R897" s="1439">
        <f>(10%*110000000+110000000/100)/100</f>
        <v>121000</v>
      </c>
      <c r="S897" s="1473">
        <v>12</v>
      </c>
      <c r="T897" s="1439">
        <f>(10%*121000000+121000000/100)/100</f>
        <v>133100</v>
      </c>
      <c r="U897" s="1473">
        <v>12</v>
      </c>
      <c r="V897" s="1439">
        <f>(10%*133100000+133100000/100)/100</f>
        <v>146410</v>
      </c>
      <c r="W897" s="1440">
        <f t="shared" si="6"/>
        <v>60</v>
      </c>
      <c r="X897" s="1440"/>
      <c r="Y897" s="1593" t="s">
        <v>1800</v>
      </c>
    </row>
    <row r="898" spans="2:25" s="210" customFormat="1" ht="63.75" x14ac:dyDescent="0.25">
      <c r="B898" s="2021"/>
      <c r="C898" s="674"/>
      <c r="D898" s="674"/>
      <c r="E898" s="674"/>
      <c r="F898" s="674"/>
      <c r="G898" s="1476" t="s">
        <v>139</v>
      </c>
      <c r="H898" s="173" t="s">
        <v>583</v>
      </c>
      <c r="I898" s="1473" t="s">
        <v>40</v>
      </c>
      <c r="J898" s="1143">
        <v>100</v>
      </c>
      <c r="K898" s="1473">
        <v>12</v>
      </c>
      <c r="L898" s="1439">
        <f>15000000/1000</f>
        <v>15000</v>
      </c>
      <c r="M898" s="1473">
        <v>12</v>
      </c>
      <c r="N898" s="1439">
        <f>15000000/1000</f>
        <v>15000</v>
      </c>
      <c r="O898" s="1473">
        <v>12</v>
      </c>
      <c r="P898" s="1439">
        <f>(10%*15000000+15000000/100)/100</f>
        <v>16500</v>
      </c>
      <c r="Q898" s="1473">
        <v>12</v>
      </c>
      <c r="R898" s="1439">
        <f>(10%*16500000+16500000/100)/100</f>
        <v>18150</v>
      </c>
      <c r="S898" s="1473">
        <v>12</v>
      </c>
      <c r="T898" s="1439">
        <f>(10%*18500000+18500000/100)/100</f>
        <v>20350</v>
      </c>
      <c r="U898" s="1473">
        <v>12</v>
      </c>
      <c r="V898" s="1439">
        <f>(10%*20350000+20350000/100)/100</f>
        <v>22385</v>
      </c>
      <c r="W898" s="1440">
        <f t="shared" si="6"/>
        <v>60</v>
      </c>
      <c r="X898" s="1440"/>
      <c r="Y898" s="1593" t="s">
        <v>1800</v>
      </c>
    </row>
    <row r="899" spans="2:25" s="210" customFormat="1" ht="51" x14ac:dyDescent="0.25">
      <c r="B899" s="2021"/>
      <c r="C899" s="674"/>
      <c r="D899" s="674"/>
      <c r="E899" s="674"/>
      <c r="F899" s="674"/>
      <c r="G899" s="1476" t="s">
        <v>65</v>
      </c>
      <c r="H899" s="173" t="s">
        <v>1701</v>
      </c>
      <c r="I899" s="1473" t="s">
        <v>19</v>
      </c>
      <c r="J899" s="1143">
        <v>100</v>
      </c>
      <c r="K899" s="1475">
        <v>20</v>
      </c>
      <c r="L899" s="1439">
        <f>SUM(L900:L905)</f>
        <v>470000</v>
      </c>
      <c r="M899" s="1475">
        <v>20</v>
      </c>
      <c r="N899" s="1439">
        <f>SUM(N900:N905)</f>
        <v>470000</v>
      </c>
      <c r="O899" s="1475">
        <v>15</v>
      </c>
      <c r="P899" s="1439">
        <f>SUM(P900:P905)</f>
        <v>517000</v>
      </c>
      <c r="Q899" s="1475">
        <v>15</v>
      </c>
      <c r="R899" s="1439">
        <f>SUM(R900:R905)</f>
        <v>568700</v>
      </c>
      <c r="S899" s="1475">
        <v>15</v>
      </c>
      <c r="T899" s="1439">
        <f>SUM(T900:T905)</f>
        <v>625570</v>
      </c>
      <c r="U899" s="1475">
        <v>15</v>
      </c>
      <c r="V899" s="1439">
        <f>SUM(V900:V905)</f>
        <v>688127</v>
      </c>
      <c r="W899" s="1266">
        <f>S899+Q899+O899+M899+K899+U899</f>
        <v>100</v>
      </c>
      <c r="X899" s="1440"/>
      <c r="Y899" s="1593" t="s">
        <v>1800</v>
      </c>
    </row>
    <row r="900" spans="2:25" s="210" customFormat="1" ht="38.25" x14ac:dyDescent="0.25">
      <c r="B900" s="2021"/>
      <c r="C900" s="674"/>
      <c r="D900" s="674"/>
      <c r="E900" s="674"/>
      <c r="F900" s="674"/>
      <c r="G900" s="1476" t="s">
        <v>472</v>
      </c>
      <c r="H900" s="173" t="s">
        <v>1702</v>
      </c>
      <c r="I900" s="1473" t="s">
        <v>75</v>
      </c>
      <c r="J900" s="863">
        <v>12</v>
      </c>
      <c r="K900" s="863">
        <v>2</v>
      </c>
      <c r="L900" s="1266">
        <f>39200000/1000</f>
        <v>39200</v>
      </c>
      <c r="M900" s="863">
        <v>2</v>
      </c>
      <c r="N900" s="1266">
        <f>39200000/1000</f>
        <v>39200</v>
      </c>
      <c r="O900" s="863">
        <v>2</v>
      </c>
      <c r="P900" s="1266">
        <f>(10%*39200000+39200000/100)/100</f>
        <v>43120</v>
      </c>
      <c r="Q900" s="863">
        <v>2</v>
      </c>
      <c r="R900" s="1266">
        <f>(10%*43120000+43120000/100)/100</f>
        <v>47432</v>
      </c>
      <c r="S900" s="863">
        <v>2</v>
      </c>
      <c r="T900" s="1266">
        <f>(10%*47432000+47432000/100)/100</f>
        <v>52175.199999999997</v>
      </c>
      <c r="U900" s="863">
        <v>2</v>
      </c>
      <c r="V900" s="1266">
        <f>(10%*52175000+52175000/100)/100</f>
        <v>57392.5</v>
      </c>
      <c r="W900" s="1266">
        <f t="shared" ref="W900:W907" si="7">S900+Q900+O900+M900+K900</f>
        <v>10</v>
      </c>
      <c r="X900" s="1440"/>
      <c r="Y900" s="1593" t="s">
        <v>1800</v>
      </c>
    </row>
    <row r="901" spans="2:25" s="210" customFormat="1" ht="38.25" x14ac:dyDescent="0.25">
      <c r="B901" s="2021"/>
      <c r="C901" s="674"/>
      <c r="D901" s="674"/>
      <c r="E901" s="674"/>
      <c r="F901" s="674"/>
      <c r="G901" s="1476" t="s">
        <v>144</v>
      </c>
      <c r="H901" s="173" t="s">
        <v>1703</v>
      </c>
      <c r="I901" s="1473" t="s">
        <v>324</v>
      </c>
      <c r="J901" s="173">
        <v>5</v>
      </c>
      <c r="K901" s="173">
        <v>1</v>
      </c>
      <c r="L901" s="1439">
        <f>90800000/1000</f>
        <v>90800</v>
      </c>
      <c r="M901" s="173">
        <v>1</v>
      </c>
      <c r="N901" s="1439">
        <f>90800000/1000</f>
        <v>90800</v>
      </c>
      <c r="O901" s="173">
        <v>1</v>
      </c>
      <c r="P901" s="1439">
        <f>(10%*90800000+90800000/100)/100</f>
        <v>99880</v>
      </c>
      <c r="Q901" s="173">
        <v>1</v>
      </c>
      <c r="R901" s="1439">
        <f>(10%*99880000+99880000/100)/100</f>
        <v>109868</v>
      </c>
      <c r="S901" s="173">
        <v>1</v>
      </c>
      <c r="T901" s="1439">
        <f>(10%*109868000+109868000/100)/100</f>
        <v>120854.8</v>
      </c>
      <c r="U901" s="173">
        <v>1</v>
      </c>
      <c r="V901" s="1439">
        <f>(10%*120855000+120855000/100)/100</f>
        <v>132940.5</v>
      </c>
      <c r="W901" s="1440">
        <f t="shared" si="7"/>
        <v>5</v>
      </c>
      <c r="X901" s="1440"/>
      <c r="Y901" s="1593" t="s">
        <v>1800</v>
      </c>
    </row>
    <row r="902" spans="2:25" s="210" customFormat="1" ht="38.25" x14ac:dyDescent="0.25">
      <c r="B902" s="2021"/>
      <c r="C902" s="674"/>
      <c r="D902" s="674"/>
      <c r="E902" s="674"/>
      <c r="F902" s="674"/>
      <c r="G902" s="1476" t="s">
        <v>149</v>
      </c>
      <c r="H902" s="173" t="s">
        <v>1704</v>
      </c>
      <c r="I902" s="1473" t="s">
        <v>75</v>
      </c>
      <c r="J902" s="173">
        <v>20</v>
      </c>
      <c r="K902" s="1473">
        <v>20</v>
      </c>
      <c r="L902" s="1439">
        <f>134000000/1000</f>
        <v>134000</v>
      </c>
      <c r="M902" s="1473">
        <v>20</v>
      </c>
      <c r="N902" s="1439">
        <f>134000000/1000</f>
        <v>134000</v>
      </c>
      <c r="O902" s="1473">
        <v>20</v>
      </c>
      <c r="P902" s="1439">
        <f>(10%*134000000+134000000/100)/100</f>
        <v>147400</v>
      </c>
      <c r="Q902" s="1473">
        <v>20</v>
      </c>
      <c r="R902" s="1439">
        <f>(10%*147400000+147400000/100)/100</f>
        <v>162140</v>
      </c>
      <c r="S902" s="1473">
        <v>20</v>
      </c>
      <c r="T902" s="1439">
        <f>(10%*162140000+162140000/100)/100</f>
        <v>178354</v>
      </c>
      <c r="U902" s="1473">
        <v>20</v>
      </c>
      <c r="V902" s="1439">
        <f>(10%*178354000+178354000/100)/100</f>
        <v>196189.4</v>
      </c>
      <c r="W902" s="1440">
        <f t="shared" si="7"/>
        <v>100</v>
      </c>
      <c r="X902" s="1440"/>
      <c r="Y902" s="1593" t="s">
        <v>1800</v>
      </c>
    </row>
    <row r="903" spans="2:25" s="210" customFormat="1" ht="38.25" x14ac:dyDescent="0.25">
      <c r="B903" s="2021"/>
      <c r="C903" s="674"/>
      <c r="D903" s="674"/>
      <c r="E903" s="674"/>
      <c r="F903" s="674"/>
      <c r="G903" s="1476" t="s">
        <v>158</v>
      </c>
      <c r="H903" s="173" t="s">
        <v>584</v>
      </c>
      <c r="I903" s="1473" t="s">
        <v>75</v>
      </c>
      <c r="J903" s="173">
        <v>118</v>
      </c>
      <c r="K903" s="1473">
        <v>118</v>
      </c>
      <c r="L903" s="1439">
        <f>106000000/1000</f>
        <v>106000</v>
      </c>
      <c r="M903" s="1473">
        <v>118</v>
      </c>
      <c r="N903" s="1439">
        <f>106000000/1000</f>
        <v>106000</v>
      </c>
      <c r="O903" s="1473">
        <v>118</v>
      </c>
      <c r="P903" s="1439">
        <f>(10%*106000000+106000000/100)/100</f>
        <v>116600</v>
      </c>
      <c r="Q903" s="1473">
        <v>118</v>
      </c>
      <c r="R903" s="1439">
        <f>(10%*116600000+116600000/100)/100</f>
        <v>128260</v>
      </c>
      <c r="S903" s="1473">
        <v>118</v>
      </c>
      <c r="T903" s="1439">
        <f>(10%*128260000+128260000/100)/100</f>
        <v>141086</v>
      </c>
      <c r="U903" s="1473">
        <v>118</v>
      </c>
      <c r="V903" s="1439">
        <f>(10%*141086000+141086000/100)/100</f>
        <v>155194.6</v>
      </c>
      <c r="W903" s="1440">
        <f t="shared" si="7"/>
        <v>590</v>
      </c>
      <c r="X903" s="1440"/>
      <c r="Y903" s="1593" t="s">
        <v>1800</v>
      </c>
    </row>
    <row r="904" spans="2:25" s="210" customFormat="1" ht="51" x14ac:dyDescent="0.25">
      <c r="B904" s="2021"/>
      <c r="C904" s="674"/>
      <c r="D904" s="674"/>
      <c r="E904" s="674"/>
      <c r="F904" s="674"/>
      <c r="G904" s="1476" t="s">
        <v>164</v>
      </c>
      <c r="H904" s="173" t="s">
        <v>1705</v>
      </c>
      <c r="I904" s="1473" t="s">
        <v>75</v>
      </c>
      <c r="J904" s="173">
        <v>1</v>
      </c>
      <c r="K904" s="1473">
        <v>1</v>
      </c>
      <c r="L904" s="1439">
        <f>85000000/1000</f>
        <v>85000</v>
      </c>
      <c r="M904" s="1473">
        <v>1</v>
      </c>
      <c r="N904" s="1439">
        <f>85000000/1000</f>
        <v>85000</v>
      </c>
      <c r="O904" s="1473">
        <v>1</v>
      </c>
      <c r="P904" s="1439">
        <f>(10%*85000000+85000000/100)/100</f>
        <v>93500</v>
      </c>
      <c r="Q904" s="1473">
        <v>1</v>
      </c>
      <c r="R904" s="1439">
        <f>(10%*93500000+93500000/100)/100</f>
        <v>102850</v>
      </c>
      <c r="S904" s="1473">
        <v>1</v>
      </c>
      <c r="T904" s="1439">
        <f>(10%*102850000+102850000/100)/100</f>
        <v>113135</v>
      </c>
      <c r="U904" s="1473">
        <v>1</v>
      </c>
      <c r="V904" s="1439">
        <f>(10%*113135000+113135000/100)/100</f>
        <v>124448.5</v>
      </c>
      <c r="W904" s="1440">
        <f t="shared" si="7"/>
        <v>5</v>
      </c>
      <c r="X904" s="1440"/>
      <c r="Y904" s="1593" t="s">
        <v>1800</v>
      </c>
    </row>
    <row r="905" spans="2:25" s="210" customFormat="1" ht="63.75" x14ac:dyDescent="0.25">
      <c r="B905" s="2021"/>
      <c r="C905" s="674"/>
      <c r="D905" s="674"/>
      <c r="E905" s="674"/>
      <c r="F905" s="674"/>
      <c r="G905" s="1476" t="s">
        <v>73</v>
      </c>
      <c r="H905" s="173" t="s">
        <v>1706</v>
      </c>
      <c r="I905" s="1473" t="s">
        <v>324</v>
      </c>
      <c r="J905" s="173">
        <v>5</v>
      </c>
      <c r="K905" s="1473">
        <v>80</v>
      </c>
      <c r="L905" s="1439">
        <f>15000000/1000</f>
        <v>15000</v>
      </c>
      <c r="M905" s="1473">
        <v>80</v>
      </c>
      <c r="N905" s="1439">
        <f>15000000/1000</f>
        <v>15000</v>
      </c>
      <c r="O905" s="1473">
        <v>80</v>
      </c>
      <c r="P905" s="1439">
        <f>(10%*15000000+15000000/100)/100</f>
        <v>16500</v>
      </c>
      <c r="Q905" s="1473">
        <v>80</v>
      </c>
      <c r="R905" s="1439">
        <f>(10%*16500000+16500000/100)/100</f>
        <v>18150</v>
      </c>
      <c r="S905" s="1473">
        <v>80</v>
      </c>
      <c r="T905" s="1439">
        <f>(10%*18150000+18150000/100)/100</f>
        <v>19965</v>
      </c>
      <c r="U905" s="1473">
        <v>80</v>
      </c>
      <c r="V905" s="1439">
        <f>(10%*19965000+19965000/100)/100</f>
        <v>21961.5</v>
      </c>
      <c r="W905" s="1440">
        <f t="shared" si="7"/>
        <v>400</v>
      </c>
      <c r="X905" s="1440"/>
      <c r="Y905" s="1593" t="s">
        <v>1800</v>
      </c>
    </row>
    <row r="906" spans="2:25" s="210" customFormat="1" ht="38.25" x14ac:dyDescent="0.25">
      <c r="B906" s="2021"/>
      <c r="C906" s="674"/>
      <c r="D906" s="674"/>
      <c r="E906" s="674"/>
      <c r="F906" s="674"/>
      <c r="G906" s="1476" t="s">
        <v>1707</v>
      </c>
      <c r="H906" s="173" t="s">
        <v>3155</v>
      </c>
      <c r="I906" s="1473" t="s">
        <v>100</v>
      </c>
      <c r="J906" s="1438">
        <v>0</v>
      </c>
      <c r="K906" s="1438">
        <v>0</v>
      </c>
      <c r="L906" s="1439">
        <f>SUM(L907)</f>
        <v>0</v>
      </c>
      <c r="M906" s="1438">
        <v>0</v>
      </c>
      <c r="N906" s="1439">
        <f>SUM(N907)</f>
        <v>0</v>
      </c>
      <c r="O906" s="1480">
        <v>18</v>
      </c>
      <c r="P906" s="1439">
        <f>SUM(P907)</f>
        <v>55000</v>
      </c>
      <c r="Q906" s="1480">
        <v>18</v>
      </c>
      <c r="R906" s="1439">
        <f>SUM(R907)</f>
        <v>60500</v>
      </c>
      <c r="S906" s="1480">
        <v>18</v>
      </c>
      <c r="T906" s="1439">
        <f>SUM(T907)</f>
        <v>66550</v>
      </c>
      <c r="U906" s="1480">
        <v>18</v>
      </c>
      <c r="V906" s="1439">
        <f>SUM(V907)</f>
        <v>73205</v>
      </c>
      <c r="W906" s="1440">
        <f t="shared" si="7"/>
        <v>54</v>
      </c>
      <c r="X906" s="1440"/>
      <c r="Y906" s="1593" t="s">
        <v>1800</v>
      </c>
    </row>
    <row r="907" spans="2:25" s="210" customFormat="1" ht="102" x14ac:dyDescent="0.25">
      <c r="B907" s="2021"/>
      <c r="C907" s="674"/>
      <c r="D907" s="674"/>
      <c r="E907" s="674"/>
      <c r="F907" s="674"/>
      <c r="G907" s="1476" t="s">
        <v>1708</v>
      </c>
      <c r="H907" s="1476" t="s">
        <v>1709</v>
      </c>
      <c r="I907" s="1473" t="s">
        <v>100</v>
      </c>
      <c r="J907" s="1438">
        <v>0</v>
      </c>
      <c r="K907" s="1438">
        <v>0</v>
      </c>
      <c r="L907" s="1439">
        <v>0</v>
      </c>
      <c r="M907" s="1438">
        <v>0</v>
      </c>
      <c r="N907" s="1439">
        <v>0</v>
      </c>
      <c r="O907" s="1480">
        <v>18</v>
      </c>
      <c r="P907" s="1439">
        <f>55000000/1000</f>
        <v>55000</v>
      </c>
      <c r="Q907" s="1480">
        <v>18</v>
      </c>
      <c r="R907" s="1439">
        <f>60500000/1000</f>
        <v>60500</v>
      </c>
      <c r="S907" s="1480">
        <v>18</v>
      </c>
      <c r="T907" s="1439">
        <f>66550000/1000</f>
        <v>66550</v>
      </c>
      <c r="U907" s="1480">
        <v>18</v>
      </c>
      <c r="V907" s="1439">
        <f>73205000/1000</f>
        <v>73205</v>
      </c>
      <c r="W907" s="1440">
        <f t="shared" si="7"/>
        <v>54</v>
      </c>
      <c r="X907" s="1440"/>
      <c r="Y907" s="1593" t="s">
        <v>1800</v>
      </c>
    </row>
    <row r="908" spans="2:25" s="210" customFormat="1" ht="51" x14ac:dyDescent="0.25">
      <c r="B908" s="2021"/>
      <c r="C908" s="674"/>
      <c r="D908" s="674"/>
      <c r="E908" s="674"/>
      <c r="F908" s="674"/>
      <c r="G908" s="173" t="s">
        <v>1710</v>
      </c>
      <c r="H908" s="173" t="s">
        <v>3111</v>
      </c>
      <c r="I908" s="1473" t="s">
        <v>79</v>
      </c>
      <c r="J908" s="1143">
        <f t="shared" ref="J908:V908" si="8">SUM(J909:J910)</f>
        <v>10</v>
      </c>
      <c r="K908" s="1143">
        <f t="shared" si="8"/>
        <v>3</v>
      </c>
      <c r="L908" s="1266">
        <f t="shared" si="8"/>
        <v>220000</v>
      </c>
      <c r="M908" s="1143">
        <f t="shared" si="8"/>
        <v>3</v>
      </c>
      <c r="N908" s="1266">
        <f t="shared" si="8"/>
        <v>230000</v>
      </c>
      <c r="O908" s="1143">
        <f t="shared" si="8"/>
        <v>3</v>
      </c>
      <c r="P908" s="1266">
        <f t="shared" si="8"/>
        <v>253000</v>
      </c>
      <c r="Q908" s="1143">
        <f t="shared" si="8"/>
        <v>3</v>
      </c>
      <c r="R908" s="1266">
        <f t="shared" si="8"/>
        <v>278300</v>
      </c>
      <c r="S908" s="1143">
        <f t="shared" si="8"/>
        <v>3</v>
      </c>
      <c r="T908" s="1266">
        <f t="shared" si="8"/>
        <v>306130</v>
      </c>
      <c r="U908" s="1143">
        <f t="shared" si="8"/>
        <v>3</v>
      </c>
      <c r="V908" s="1266">
        <f t="shared" si="8"/>
        <v>336743</v>
      </c>
      <c r="W908" s="1440">
        <f>S908+Q908+O908+M908+K908+U908</f>
        <v>18</v>
      </c>
      <c r="X908" s="1440"/>
      <c r="Y908" s="1593" t="s">
        <v>1800</v>
      </c>
    </row>
    <row r="909" spans="2:25" s="210" customFormat="1" ht="63.75" x14ac:dyDescent="0.25">
      <c r="B909" s="2021"/>
      <c r="C909" s="674"/>
      <c r="D909" s="674"/>
      <c r="E909" s="674"/>
      <c r="F909" s="674"/>
      <c r="G909" s="173" t="s">
        <v>169</v>
      </c>
      <c r="H909" s="1476" t="s">
        <v>1711</v>
      </c>
      <c r="I909" s="1473" t="s">
        <v>79</v>
      </c>
      <c r="J909" s="1480">
        <v>5</v>
      </c>
      <c r="K909" s="1442">
        <v>2</v>
      </c>
      <c r="L909" s="1266">
        <f>20000000/1000</f>
        <v>20000</v>
      </c>
      <c r="M909" s="1442">
        <v>2</v>
      </c>
      <c r="N909" s="1266">
        <f>30000000/1000</f>
        <v>30000</v>
      </c>
      <c r="O909" s="1442">
        <v>2</v>
      </c>
      <c r="P909" s="1266">
        <f>(10%*30000000+30000000/100)/100</f>
        <v>33000</v>
      </c>
      <c r="Q909" s="1442">
        <v>2</v>
      </c>
      <c r="R909" s="1266">
        <f>(10%*33000000+33000000/100)/100</f>
        <v>36300</v>
      </c>
      <c r="S909" s="1442">
        <v>2</v>
      </c>
      <c r="T909" s="1266">
        <f>(10%*36300000+36300000/100)/100</f>
        <v>39930</v>
      </c>
      <c r="U909" s="1443">
        <v>2</v>
      </c>
      <c r="V909" s="1266">
        <f>(10%*39930000+39930000/100)/100</f>
        <v>43923</v>
      </c>
      <c r="W909" s="1440">
        <v>12</v>
      </c>
      <c r="X909" s="1440"/>
      <c r="Y909" s="1593" t="s">
        <v>1800</v>
      </c>
    </row>
    <row r="910" spans="2:25" s="210" customFormat="1" ht="38.25" x14ac:dyDescent="0.25">
      <c r="B910" s="2021"/>
      <c r="C910" s="674"/>
      <c r="D910" s="674"/>
      <c r="E910" s="674"/>
      <c r="F910" s="674"/>
      <c r="G910" s="173" t="s">
        <v>1712</v>
      </c>
      <c r="H910" s="1476" t="s">
        <v>1713</v>
      </c>
      <c r="I910" s="1473" t="s">
        <v>79</v>
      </c>
      <c r="J910" s="1480">
        <v>5</v>
      </c>
      <c r="K910" s="1480">
        <v>1</v>
      </c>
      <c r="L910" s="1266">
        <f>200000000/1000</f>
        <v>200000</v>
      </c>
      <c r="M910" s="1480">
        <v>1</v>
      </c>
      <c r="N910" s="1266">
        <f>200000000/1000</f>
        <v>200000</v>
      </c>
      <c r="O910" s="1480">
        <v>1</v>
      </c>
      <c r="P910" s="1266">
        <f>(10%*200000000+200000000/100)/100</f>
        <v>220000</v>
      </c>
      <c r="Q910" s="1480">
        <v>1</v>
      </c>
      <c r="R910" s="1266">
        <f>(10%*220000000+220000000/100)/100</f>
        <v>242000</v>
      </c>
      <c r="S910" s="1480">
        <v>1</v>
      </c>
      <c r="T910" s="1266">
        <f>(10%*242000000+242000000/100)/100</f>
        <v>266200</v>
      </c>
      <c r="U910" s="1480">
        <v>1</v>
      </c>
      <c r="V910" s="1266">
        <f>(10%*266200000+266200000/100)/100</f>
        <v>292820</v>
      </c>
      <c r="W910" s="1440">
        <v>6</v>
      </c>
      <c r="X910" s="1440"/>
      <c r="Y910" s="1593" t="s">
        <v>1800</v>
      </c>
    </row>
    <row r="911" spans="2:25" s="210" customFormat="1" ht="63.75" x14ac:dyDescent="0.25">
      <c r="B911" s="2021"/>
      <c r="C911" s="674"/>
      <c r="D911" s="674"/>
      <c r="E911" s="674"/>
      <c r="F911" s="674"/>
      <c r="G911" s="173" t="s">
        <v>1714</v>
      </c>
      <c r="H911" s="703" t="s">
        <v>78</v>
      </c>
      <c r="I911" s="1473" t="s">
        <v>79</v>
      </c>
      <c r="J911" s="1445">
        <v>25</v>
      </c>
      <c r="K911" s="1445">
        <v>5</v>
      </c>
      <c r="L911" s="1266">
        <f>SUM(L912)</f>
        <v>51588</v>
      </c>
      <c r="M911" s="1444">
        <v>5</v>
      </c>
      <c r="N911" s="1266">
        <f>SUM(N912)</f>
        <v>66997.899999999994</v>
      </c>
      <c r="O911" s="1444">
        <v>5</v>
      </c>
      <c r="P911" s="1266">
        <f>SUM(P912)</f>
        <v>67000</v>
      </c>
      <c r="Q911" s="1444">
        <v>5</v>
      </c>
      <c r="R911" s="1266">
        <f>SUM(R912)</f>
        <v>73700</v>
      </c>
      <c r="S911" s="1445">
        <v>5</v>
      </c>
      <c r="T911" s="1266">
        <f>SUM(T912)</f>
        <v>81070</v>
      </c>
      <c r="U911" s="1445">
        <v>5</v>
      </c>
      <c r="V911" s="1266">
        <f>SUM(V912)</f>
        <v>89177</v>
      </c>
      <c r="W911" s="1440">
        <v>30</v>
      </c>
      <c r="X911" s="1440"/>
      <c r="Y911" s="1593" t="s">
        <v>1800</v>
      </c>
    </row>
    <row r="912" spans="2:25" s="210" customFormat="1" ht="114.75" x14ac:dyDescent="0.25">
      <c r="B912" s="2021"/>
      <c r="C912" s="674"/>
      <c r="D912" s="674"/>
      <c r="E912" s="674"/>
      <c r="F912" s="674"/>
      <c r="G912" s="173" t="s">
        <v>80</v>
      </c>
      <c r="H912" s="703" t="s">
        <v>1715</v>
      </c>
      <c r="I912" s="1473" t="s">
        <v>79</v>
      </c>
      <c r="J912" s="1475">
        <v>25</v>
      </c>
      <c r="K912" s="1444">
        <v>5</v>
      </c>
      <c r="L912" s="1480">
        <f>51588000/1000</f>
        <v>51588</v>
      </c>
      <c r="M912" s="1444">
        <v>5</v>
      </c>
      <c r="N912" s="1480">
        <f>66997900/1000</f>
        <v>66997.899999999994</v>
      </c>
      <c r="O912" s="1444">
        <v>5</v>
      </c>
      <c r="P912" s="1480">
        <v>67000</v>
      </c>
      <c r="Q912" s="1444">
        <v>5</v>
      </c>
      <c r="R912" s="1480">
        <v>73700</v>
      </c>
      <c r="S912" s="1444">
        <v>5</v>
      </c>
      <c r="T912" s="1480">
        <v>81070</v>
      </c>
      <c r="U912" s="1445">
        <v>5</v>
      </c>
      <c r="V912" s="1480">
        <v>89177</v>
      </c>
      <c r="W912" s="161"/>
      <c r="X912" s="1440"/>
      <c r="Y912" s="1593" t="s">
        <v>1800</v>
      </c>
    </row>
    <row r="913" spans="2:25" s="210" customFormat="1" ht="51" x14ac:dyDescent="0.25">
      <c r="B913" s="2021"/>
      <c r="C913" s="674"/>
      <c r="D913" s="674"/>
      <c r="E913" s="674"/>
      <c r="F913" s="674"/>
      <c r="G913" s="173" t="s">
        <v>1716</v>
      </c>
      <c r="H913" s="173" t="s">
        <v>3156</v>
      </c>
      <c r="I913" s="1473" t="s">
        <v>19</v>
      </c>
      <c r="J913" s="173">
        <v>100</v>
      </c>
      <c r="K913" s="173">
        <v>20</v>
      </c>
      <c r="L913" s="1439">
        <f>SUM(L914:L916)</f>
        <v>631141</v>
      </c>
      <c r="M913" s="173">
        <v>20</v>
      </c>
      <c r="N913" s="1439">
        <f>SUM(N914:N916)</f>
        <v>580000</v>
      </c>
      <c r="O913" s="173">
        <v>20</v>
      </c>
      <c r="P913" s="1439">
        <f>SUM(P914:P916)</f>
        <v>693500</v>
      </c>
      <c r="Q913" s="173">
        <v>20</v>
      </c>
      <c r="R913" s="1439">
        <f>SUM(R914:R916)</f>
        <v>762850</v>
      </c>
      <c r="S913" s="173">
        <v>20</v>
      </c>
      <c r="T913" s="1439">
        <f>SUM(T914:T916)</f>
        <v>839135</v>
      </c>
      <c r="U913" s="1438">
        <v>20</v>
      </c>
      <c r="V913" s="1439">
        <f>SUM(V914:V916)</f>
        <v>923048.5</v>
      </c>
      <c r="W913" s="1440">
        <f>S913+Q913+O913+M913+K913</f>
        <v>100</v>
      </c>
      <c r="X913" s="1440"/>
      <c r="Y913" s="1593" t="s">
        <v>1800</v>
      </c>
    </row>
    <row r="914" spans="2:25" s="210" customFormat="1" ht="102" x14ac:dyDescent="0.25">
      <c r="B914" s="2021"/>
      <c r="C914" s="674"/>
      <c r="D914" s="674"/>
      <c r="E914" s="674"/>
      <c r="F914" s="1446"/>
      <c r="G914" s="2019" t="s">
        <v>1717</v>
      </c>
      <c r="H914" s="1476" t="s">
        <v>1718</v>
      </c>
      <c r="I914" s="1473" t="s">
        <v>100</v>
      </c>
      <c r="J914" s="1438">
        <v>0</v>
      </c>
      <c r="K914" s="1443">
        <f>SUM(1347+68)</f>
        <v>1415</v>
      </c>
      <c r="L914" s="1439">
        <f>471141000/1000</f>
        <v>471141</v>
      </c>
      <c r="M914" s="1441">
        <v>1347</v>
      </c>
      <c r="N914" s="1439">
        <f>420000000/1000</f>
        <v>420000</v>
      </c>
      <c r="O914" s="1441">
        <v>1347</v>
      </c>
      <c r="P914" s="1439">
        <f>500000000/1000</f>
        <v>500000</v>
      </c>
      <c r="Q914" s="1441">
        <v>1347</v>
      </c>
      <c r="R914" s="1439">
        <f>550000000/1000</f>
        <v>550000</v>
      </c>
      <c r="S914" s="1441">
        <v>1347</v>
      </c>
      <c r="T914" s="1439">
        <f>(10%*550000000+550000000/100)/100</f>
        <v>605000</v>
      </c>
      <c r="U914" s="1441">
        <v>1347</v>
      </c>
      <c r="V914" s="1439">
        <f>(10%*605000000+605000000/100)/100</f>
        <v>665500</v>
      </c>
      <c r="W914" s="1440">
        <f>S914+Q914+O914+M914+K914</f>
        <v>6803</v>
      </c>
      <c r="X914" s="1440"/>
      <c r="Y914" s="1593" t="s">
        <v>1800</v>
      </c>
    </row>
    <row r="915" spans="2:25" s="210" customFormat="1" ht="63.75" x14ac:dyDescent="0.25">
      <c r="B915" s="2021"/>
      <c r="C915" s="674"/>
      <c r="D915" s="674"/>
      <c r="E915" s="674"/>
      <c r="F915" s="1446"/>
      <c r="G915" s="2019"/>
      <c r="H915" s="1476" t="s">
        <v>1719</v>
      </c>
      <c r="I915" s="1473" t="s">
        <v>103</v>
      </c>
      <c r="J915" s="1444">
        <v>5</v>
      </c>
      <c r="K915" s="863">
        <v>1</v>
      </c>
      <c r="L915" s="1266">
        <f>60000000/1000</f>
        <v>60000</v>
      </c>
      <c r="M915" s="863">
        <v>1</v>
      </c>
      <c r="N915" s="1266">
        <f>60000000/1000</f>
        <v>60000</v>
      </c>
      <c r="O915" s="863">
        <v>1</v>
      </c>
      <c r="P915" s="1266">
        <f>72500000/1000</f>
        <v>72500</v>
      </c>
      <c r="Q915" s="863">
        <v>1</v>
      </c>
      <c r="R915" s="1266">
        <f>(10%*72500000+72500000/100)/100</f>
        <v>79750</v>
      </c>
      <c r="S915" s="863">
        <v>1</v>
      </c>
      <c r="T915" s="1266">
        <f>(10%*79750000+79750000/100)/100</f>
        <v>87725</v>
      </c>
      <c r="U915" s="863">
        <v>1</v>
      </c>
      <c r="V915" s="1266">
        <f>(10%*87725000+87725000/100)/100</f>
        <v>96497.5</v>
      </c>
      <c r="W915" s="863">
        <v>1</v>
      </c>
      <c r="X915" s="1476"/>
      <c r="Y915" s="1593" t="s">
        <v>1800</v>
      </c>
    </row>
    <row r="916" spans="2:25" s="210" customFormat="1" ht="63.75" x14ac:dyDescent="0.25">
      <c r="B916" s="2021"/>
      <c r="C916" s="674"/>
      <c r="D916" s="674"/>
      <c r="E916" s="674"/>
      <c r="F916" s="1446"/>
      <c r="G916" s="1476" t="s">
        <v>1720</v>
      </c>
      <c r="H916" s="1476" t="s">
        <v>1721</v>
      </c>
      <c r="I916" s="1473" t="s">
        <v>103</v>
      </c>
      <c r="J916" s="173">
        <v>26</v>
      </c>
      <c r="K916" s="173">
        <v>26</v>
      </c>
      <c r="L916" s="1439">
        <f>100000000/1000</f>
        <v>100000</v>
      </c>
      <c r="M916" s="173">
        <v>26</v>
      </c>
      <c r="N916" s="1439">
        <f>100000000/1000</f>
        <v>100000</v>
      </c>
      <c r="O916" s="173">
        <v>26</v>
      </c>
      <c r="P916" s="1439">
        <f>121000000/1000</f>
        <v>121000</v>
      </c>
      <c r="Q916" s="173">
        <v>26</v>
      </c>
      <c r="R916" s="1439">
        <f>(10%*121000000+121000000/100)/100</f>
        <v>133100</v>
      </c>
      <c r="S916" s="173">
        <v>26</v>
      </c>
      <c r="T916" s="1439">
        <f>(10%*133100000+133100000/100)/100</f>
        <v>146410</v>
      </c>
      <c r="U916" s="173">
        <v>26</v>
      </c>
      <c r="V916" s="1439">
        <f>(10%*146410000+146410000/100)/100</f>
        <v>161051</v>
      </c>
      <c r="W916" s="1440">
        <f t="shared" ref="W916:W923" si="9">S916+Q916+O916+M916+K916</f>
        <v>130</v>
      </c>
      <c r="X916" s="1440"/>
      <c r="Y916" s="1593" t="s">
        <v>1800</v>
      </c>
    </row>
    <row r="917" spans="2:25" s="210" customFormat="1" ht="38.25" x14ac:dyDescent="0.25">
      <c r="B917" s="2021"/>
      <c r="C917" s="674"/>
      <c r="D917" s="674"/>
      <c r="E917" s="674"/>
      <c r="F917" s="674"/>
      <c r="G917" s="173" t="s">
        <v>1724</v>
      </c>
      <c r="H917" s="173" t="s">
        <v>1723</v>
      </c>
      <c r="I917" s="1473" t="s">
        <v>1196</v>
      </c>
      <c r="J917" s="173">
        <v>6</v>
      </c>
      <c r="K917" s="173">
        <v>67</v>
      </c>
      <c r="L917" s="1439">
        <f>SUM(L918:L923)</f>
        <v>158907</v>
      </c>
      <c r="M917" s="173">
        <v>76</v>
      </c>
      <c r="N917" s="1439">
        <f>SUM(N918:N923)</f>
        <v>495000</v>
      </c>
      <c r="O917" s="173">
        <v>100</v>
      </c>
      <c r="P917" s="1439">
        <f>SUM(P918:P923)</f>
        <v>518500</v>
      </c>
      <c r="Q917" s="173">
        <v>100</v>
      </c>
      <c r="R917" s="1439">
        <f>SUM(R918:R923)</f>
        <v>522350</v>
      </c>
      <c r="S917" s="173">
        <v>100</v>
      </c>
      <c r="T917" s="1439">
        <f>SUM(T918:T923)</f>
        <v>526585</v>
      </c>
      <c r="U917" s="1438">
        <v>100</v>
      </c>
      <c r="V917" s="1439">
        <f>SUM(V918:V923)</f>
        <v>531243.5</v>
      </c>
      <c r="W917" s="1440">
        <f t="shared" si="9"/>
        <v>443</v>
      </c>
      <c r="X917" s="1440"/>
      <c r="Y917" s="1593" t="s">
        <v>1800</v>
      </c>
    </row>
    <row r="918" spans="2:25" s="210" customFormat="1" ht="76.5" x14ac:dyDescent="0.25">
      <c r="B918" s="2021"/>
      <c r="C918" s="674"/>
      <c r="D918" s="674"/>
      <c r="E918" s="674"/>
      <c r="F918" s="674"/>
      <c r="G918" s="1476" t="s">
        <v>1725</v>
      </c>
      <c r="H918" s="1476" t="s">
        <v>1726</v>
      </c>
      <c r="I918" s="1473" t="s">
        <v>1196</v>
      </c>
      <c r="J918" s="173">
        <v>25</v>
      </c>
      <c r="K918" s="173">
        <v>17</v>
      </c>
      <c r="L918" s="1439">
        <f>30000000/1000</f>
        <v>30000</v>
      </c>
      <c r="M918" s="173">
        <v>20</v>
      </c>
      <c r="N918" s="1439">
        <f>30000000/1000</f>
        <v>30000</v>
      </c>
      <c r="O918" s="173">
        <v>20</v>
      </c>
      <c r="P918" s="1439">
        <f>50000000/1000</f>
        <v>50000</v>
      </c>
      <c r="Q918" s="173">
        <v>20</v>
      </c>
      <c r="R918" s="1439">
        <f>50000000/1000</f>
        <v>50000</v>
      </c>
      <c r="S918" s="173">
        <v>20</v>
      </c>
      <c r="T918" s="1439">
        <f>50000000/1000</f>
        <v>50000</v>
      </c>
      <c r="U918" s="1438">
        <v>20</v>
      </c>
      <c r="V918" s="1439">
        <v>50000</v>
      </c>
      <c r="W918" s="1440">
        <f t="shared" si="9"/>
        <v>97</v>
      </c>
      <c r="X918" s="1440"/>
      <c r="Y918" s="1593" t="s">
        <v>1800</v>
      </c>
    </row>
    <row r="919" spans="2:25" s="210" customFormat="1" ht="63.75" x14ac:dyDescent="0.25">
      <c r="B919" s="2021"/>
      <c r="C919" s="674"/>
      <c r="D919" s="674"/>
      <c r="E919" s="674"/>
      <c r="F919" s="674"/>
      <c r="G919" s="1476" t="s">
        <v>1727</v>
      </c>
      <c r="H919" s="1476" t="s">
        <v>1728</v>
      </c>
      <c r="I919" s="1473" t="s">
        <v>103</v>
      </c>
      <c r="J919" s="173">
        <v>107</v>
      </c>
      <c r="K919" s="173">
        <v>32</v>
      </c>
      <c r="L919" s="1439">
        <f>35000000/1000</f>
        <v>35000</v>
      </c>
      <c r="M919" s="173">
        <v>32</v>
      </c>
      <c r="N919" s="1439">
        <f>35000000/1000</f>
        <v>35000</v>
      </c>
      <c r="O919" s="173">
        <v>40</v>
      </c>
      <c r="P919" s="1439">
        <f>(10%*35000000+35000000/100)/100</f>
        <v>38500</v>
      </c>
      <c r="Q919" s="173">
        <v>40</v>
      </c>
      <c r="R919" s="1439">
        <f>(10%*38500000+38500000/100)/100</f>
        <v>42350</v>
      </c>
      <c r="S919" s="173">
        <v>40</v>
      </c>
      <c r="T919" s="1439">
        <f>(10%*42350000+42350000/100)/100</f>
        <v>46585</v>
      </c>
      <c r="U919" s="1438">
        <v>40</v>
      </c>
      <c r="V919" s="1439">
        <f>(10%*46585000+46585000/100)/100</f>
        <v>51243.5</v>
      </c>
      <c r="W919" s="1440">
        <f t="shared" si="9"/>
        <v>184</v>
      </c>
      <c r="X919" s="1440"/>
      <c r="Y919" s="1593" t="s">
        <v>1800</v>
      </c>
    </row>
    <row r="920" spans="2:25" s="210" customFormat="1" ht="63.75" x14ac:dyDescent="0.25">
      <c r="B920" s="2021"/>
      <c r="C920" s="674"/>
      <c r="D920" s="674"/>
      <c r="E920" s="674"/>
      <c r="F920" s="674"/>
      <c r="G920" s="2019" t="s">
        <v>1729</v>
      </c>
      <c r="H920" s="1476" t="s">
        <v>1730</v>
      </c>
      <c r="I920" s="1473" t="s">
        <v>109</v>
      </c>
      <c r="J920" s="173">
        <v>26</v>
      </c>
      <c r="K920" s="173">
        <v>26</v>
      </c>
      <c r="L920" s="2056">
        <f>93907000/1000</f>
        <v>93907</v>
      </c>
      <c r="M920" s="173">
        <v>0</v>
      </c>
      <c r="N920" s="2056">
        <v>0</v>
      </c>
      <c r="O920" s="173">
        <v>0</v>
      </c>
      <c r="P920" s="2056">
        <v>0</v>
      </c>
      <c r="Q920" s="173">
        <v>0</v>
      </c>
      <c r="R920" s="2056">
        <v>0</v>
      </c>
      <c r="S920" s="173">
        <v>0</v>
      </c>
      <c r="T920" s="2056">
        <v>0</v>
      </c>
      <c r="U920" s="1438">
        <v>0</v>
      </c>
      <c r="V920" s="2056">
        <v>0</v>
      </c>
      <c r="W920" s="1440">
        <f t="shared" si="9"/>
        <v>26</v>
      </c>
      <c r="X920" s="1440"/>
      <c r="Y920" s="1593" t="s">
        <v>1800</v>
      </c>
    </row>
    <row r="921" spans="2:25" s="210" customFormat="1" ht="38.25" x14ac:dyDescent="0.25">
      <c r="B921" s="2021"/>
      <c r="C921" s="674"/>
      <c r="D921" s="674"/>
      <c r="E921" s="674"/>
      <c r="F921" s="674"/>
      <c r="G921" s="2019"/>
      <c r="H921" s="1476" t="s">
        <v>1731</v>
      </c>
      <c r="I921" s="1473" t="s">
        <v>97</v>
      </c>
      <c r="J921" s="173">
        <v>6</v>
      </c>
      <c r="K921" s="173">
        <v>67</v>
      </c>
      <c r="L921" s="2056"/>
      <c r="M921" s="173">
        <v>0</v>
      </c>
      <c r="N921" s="2056"/>
      <c r="O921" s="173">
        <v>0</v>
      </c>
      <c r="P921" s="2056"/>
      <c r="Q921" s="173">
        <v>0</v>
      </c>
      <c r="R921" s="2056"/>
      <c r="S921" s="173">
        <v>0</v>
      </c>
      <c r="T921" s="2056"/>
      <c r="U921" s="1438">
        <v>0</v>
      </c>
      <c r="V921" s="2056"/>
      <c r="W921" s="1440">
        <f t="shared" si="9"/>
        <v>67</v>
      </c>
      <c r="X921" s="1440"/>
      <c r="Y921" s="1593" t="s">
        <v>1800</v>
      </c>
    </row>
    <row r="922" spans="2:25" s="210" customFormat="1" ht="114.75" x14ac:dyDescent="0.25">
      <c r="B922" s="2021"/>
      <c r="C922" s="674"/>
      <c r="D922" s="674"/>
      <c r="E922" s="674"/>
      <c r="F922" s="1742"/>
      <c r="G922" s="1476" t="s">
        <v>1732</v>
      </c>
      <c r="H922" s="1476" t="s">
        <v>1733</v>
      </c>
      <c r="I922" s="1473" t="s">
        <v>265</v>
      </c>
      <c r="J922" s="173">
        <v>0</v>
      </c>
      <c r="K922" s="173">
        <v>0</v>
      </c>
      <c r="L922" s="1494">
        <v>0</v>
      </c>
      <c r="M922" s="173">
        <v>435</v>
      </c>
      <c r="N922" s="2057">
        <f>430000000/1000</f>
        <v>430000</v>
      </c>
      <c r="O922" s="1473">
        <v>449</v>
      </c>
      <c r="P922" s="2057">
        <f>430000000/1000</f>
        <v>430000</v>
      </c>
      <c r="Q922" s="1473">
        <v>449</v>
      </c>
      <c r="R922" s="2057">
        <f>430000000/1000</f>
        <v>430000</v>
      </c>
      <c r="S922" s="1473">
        <v>449</v>
      </c>
      <c r="T922" s="2057">
        <f>430000000/1000</f>
        <v>430000</v>
      </c>
      <c r="U922" s="1473">
        <v>449</v>
      </c>
      <c r="V922" s="2057">
        <f>430000000/1000</f>
        <v>430000</v>
      </c>
      <c r="W922" s="1440">
        <f t="shared" si="9"/>
        <v>1782</v>
      </c>
      <c r="X922" s="1440"/>
      <c r="Y922" s="1593" t="s">
        <v>1800</v>
      </c>
    </row>
    <row r="923" spans="2:25" s="210" customFormat="1" ht="38.25" x14ac:dyDescent="0.25">
      <c r="B923" s="2021"/>
      <c r="C923" s="674"/>
      <c r="D923" s="674"/>
      <c r="E923" s="674"/>
      <c r="F923" s="1742"/>
      <c r="G923" s="1476"/>
      <c r="H923" s="1476" t="s">
        <v>1731</v>
      </c>
      <c r="I923" s="1473">
        <v>0</v>
      </c>
      <c r="J923" s="173">
        <v>0</v>
      </c>
      <c r="K923" s="173">
        <v>0</v>
      </c>
      <c r="L923" s="1494">
        <v>0</v>
      </c>
      <c r="M923" s="173">
        <v>100</v>
      </c>
      <c r="N923" s="2057"/>
      <c r="O923" s="1473">
        <v>100</v>
      </c>
      <c r="P923" s="2057"/>
      <c r="Q923" s="1473">
        <v>100</v>
      </c>
      <c r="R923" s="2057"/>
      <c r="S923" s="1473">
        <v>76</v>
      </c>
      <c r="T923" s="2057"/>
      <c r="U923" s="1473">
        <v>0</v>
      </c>
      <c r="V923" s="2057"/>
      <c r="W923" s="1440">
        <f t="shared" si="9"/>
        <v>376</v>
      </c>
      <c r="X923" s="1440"/>
      <c r="Y923" s="1593" t="s">
        <v>1800</v>
      </c>
    </row>
    <row r="924" spans="2:25" s="210" customFormat="1" ht="89.25" x14ac:dyDescent="0.25">
      <c r="B924" s="2021"/>
      <c r="C924" s="674"/>
      <c r="D924" s="674"/>
      <c r="E924" s="674"/>
      <c r="F924" s="674"/>
      <c r="G924" s="173" t="s">
        <v>1735</v>
      </c>
      <c r="H924" s="173" t="s">
        <v>1734</v>
      </c>
      <c r="I924" s="1473" t="s">
        <v>19</v>
      </c>
      <c r="J924" s="173">
        <v>100</v>
      </c>
      <c r="K924" s="173">
        <v>100</v>
      </c>
      <c r="L924" s="1447">
        <f>SUM(L925)</f>
        <v>15000</v>
      </c>
      <c r="M924" s="173">
        <v>100</v>
      </c>
      <c r="N924" s="1447">
        <f>SUM(N925)</f>
        <v>50000</v>
      </c>
      <c r="O924" s="173">
        <v>100</v>
      </c>
      <c r="P924" s="1447">
        <f>SUM(P925)</f>
        <v>55000</v>
      </c>
      <c r="Q924" s="173">
        <v>100</v>
      </c>
      <c r="R924" s="1447">
        <f>SUM(R925)</f>
        <v>60500</v>
      </c>
      <c r="S924" s="173">
        <v>100</v>
      </c>
      <c r="T924" s="1447">
        <f>SUM(T925)</f>
        <v>66550</v>
      </c>
      <c r="U924" s="173">
        <v>100</v>
      </c>
      <c r="V924" s="1447">
        <f>SUM(V925)</f>
        <v>73205</v>
      </c>
      <c r="W924" s="173">
        <v>100</v>
      </c>
      <c r="X924" s="173"/>
      <c r="Y924" s="1593" t="s">
        <v>1800</v>
      </c>
    </row>
    <row r="925" spans="2:25" s="210" customFormat="1" ht="76.5" x14ac:dyDescent="0.25">
      <c r="B925" s="2021"/>
      <c r="C925" s="674"/>
      <c r="D925" s="674"/>
      <c r="E925" s="674"/>
      <c r="F925" s="674"/>
      <c r="G925" s="1476" t="s">
        <v>1736</v>
      </c>
      <c r="H925" s="1476" t="s">
        <v>1737</v>
      </c>
      <c r="I925" s="1473" t="s">
        <v>19</v>
      </c>
      <c r="J925" s="173">
        <v>100</v>
      </c>
      <c r="K925" s="173">
        <v>100</v>
      </c>
      <c r="L925" s="1447">
        <f>15000000/1000</f>
        <v>15000</v>
      </c>
      <c r="M925" s="173">
        <v>100</v>
      </c>
      <c r="N925" s="1447">
        <f>50000000/1000</f>
        <v>50000</v>
      </c>
      <c r="O925" s="173">
        <v>100</v>
      </c>
      <c r="P925" s="1439">
        <f>55000000/1000</f>
        <v>55000</v>
      </c>
      <c r="Q925" s="173">
        <v>100</v>
      </c>
      <c r="R925" s="1439">
        <f>(10%*55000000+55000000/100)/100</f>
        <v>60500</v>
      </c>
      <c r="S925" s="173">
        <v>100</v>
      </c>
      <c r="T925" s="1439">
        <f>(10%*60500000+60500000/100)/100</f>
        <v>66550</v>
      </c>
      <c r="U925" s="173">
        <v>100</v>
      </c>
      <c r="V925" s="1439">
        <f>(10%*66550000+66550000/100)/100</f>
        <v>73205</v>
      </c>
      <c r="W925" s="173">
        <v>100</v>
      </c>
      <c r="X925" s="173"/>
      <c r="Y925" s="1593" t="s">
        <v>1800</v>
      </c>
    </row>
    <row r="926" spans="2:25" s="210" customFormat="1" ht="51" x14ac:dyDescent="0.25">
      <c r="B926" s="2021"/>
      <c r="C926" s="674"/>
      <c r="D926" s="674"/>
      <c r="E926" s="674"/>
      <c r="F926" s="674"/>
      <c r="G926" s="1476" t="s">
        <v>1516</v>
      </c>
      <c r="H926" s="173" t="s">
        <v>1738</v>
      </c>
      <c r="I926" s="1473" t="s">
        <v>1739</v>
      </c>
      <c r="J926" s="1450" t="s">
        <v>313</v>
      </c>
      <c r="K926" s="1445">
        <v>6</v>
      </c>
      <c r="L926" s="1439">
        <f>SUM(L927)</f>
        <v>288000</v>
      </c>
      <c r="M926" s="1448">
        <v>6</v>
      </c>
      <c r="N926" s="1439">
        <f>SUM(N927)</f>
        <v>150000</v>
      </c>
      <c r="O926" s="1448">
        <v>6</v>
      </c>
      <c r="P926" s="1439">
        <f>SUM(P927)</f>
        <v>288000</v>
      </c>
      <c r="Q926" s="1448">
        <v>6</v>
      </c>
      <c r="R926" s="1439">
        <f>SUM(R927)</f>
        <v>288000</v>
      </c>
      <c r="S926" s="1448">
        <v>6</v>
      </c>
      <c r="T926" s="1439">
        <f>SUM(T927)</f>
        <v>288000</v>
      </c>
      <c r="U926" s="1449">
        <v>6</v>
      </c>
      <c r="V926" s="1439">
        <f>SUM(V927)</f>
        <v>288000</v>
      </c>
      <c r="W926" s="1440">
        <f>S926+Q926+O926+M926+K926</f>
        <v>30</v>
      </c>
      <c r="X926" s="1440"/>
      <c r="Y926" s="1593" t="s">
        <v>1800</v>
      </c>
    </row>
    <row r="927" spans="2:25" s="210" customFormat="1" ht="89.25" x14ac:dyDescent="0.25">
      <c r="B927" s="2021"/>
      <c r="C927" s="674"/>
      <c r="D927" s="674"/>
      <c r="E927" s="674"/>
      <c r="F927" s="674"/>
      <c r="G927" s="1476" t="s">
        <v>1740</v>
      </c>
      <c r="H927" s="1476" t="s">
        <v>1741</v>
      </c>
      <c r="I927" s="1473" t="s">
        <v>1461</v>
      </c>
      <c r="J927" s="1444">
        <v>0</v>
      </c>
      <c r="K927" s="1445">
        <v>6</v>
      </c>
      <c r="L927" s="1439">
        <v>288000</v>
      </c>
      <c r="M927" s="1448">
        <v>6</v>
      </c>
      <c r="N927" s="1439">
        <f>150000000/1000</f>
        <v>150000</v>
      </c>
      <c r="O927" s="1448">
        <v>6</v>
      </c>
      <c r="P927" s="1439">
        <f>288000000/1000</f>
        <v>288000</v>
      </c>
      <c r="Q927" s="1448">
        <v>6</v>
      </c>
      <c r="R927" s="1439">
        <f>288000000/1000</f>
        <v>288000</v>
      </c>
      <c r="S927" s="1448">
        <v>6</v>
      </c>
      <c r="T927" s="1439">
        <v>288000</v>
      </c>
      <c r="U927" s="1449">
        <v>6</v>
      </c>
      <c r="V927" s="1439">
        <v>288000</v>
      </c>
      <c r="W927" s="1440"/>
      <c r="X927" s="1440"/>
      <c r="Y927" s="1593" t="s">
        <v>1800</v>
      </c>
    </row>
    <row r="928" spans="2:25" s="210" customFormat="1" ht="63.75" x14ac:dyDescent="0.25">
      <c r="B928" s="2021"/>
      <c r="C928" s="674"/>
      <c r="D928" s="674"/>
      <c r="E928" s="674"/>
      <c r="F928" s="674"/>
      <c r="G928" s="173" t="s">
        <v>1743</v>
      </c>
      <c r="H928" s="173" t="s">
        <v>1744</v>
      </c>
      <c r="I928" s="1473" t="s">
        <v>19</v>
      </c>
      <c r="J928" s="173">
        <v>30</v>
      </c>
      <c r="K928" s="173">
        <v>10</v>
      </c>
      <c r="L928" s="1439">
        <f>SUM(L929:L938)</f>
        <v>1555922</v>
      </c>
      <c r="M928" s="173">
        <v>10</v>
      </c>
      <c r="N928" s="1439">
        <f>SUM(N929:N938)</f>
        <v>1532500</v>
      </c>
      <c r="O928" s="173">
        <v>10</v>
      </c>
      <c r="P928" s="1439">
        <f>SUM(P929:P938)</f>
        <v>1782500</v>
      </c>
      <c r="Q928" s="173">
        <v>10</v>
      </c>
      <c r="R928" s="1439">
        <f>SUM(R929:R938)</f>
        <v>1950000</v>
      </c>
      <c r="S928" s="173">
        <v>10</v>
      </c>
      <c r="T928" s="1439">
        <f>SUM(T929:T938)</f>
        <v>2134250</v>
      </c>
      <c r="U928" s="173">
        <v>10</v>
      </c>
      <c r="V928" s="1439">
        <f>SUM(V929:V938)</f>
        <v>2277310</v>
      </c>
      <c r="W928" s="1440">
        <v>60</v>
      </c>
      <c r="X928" s="1440"/>
      <c r="Y928" s="1593" t="s">
        <v>1800</v>
      </c>
    </row>
    <row r="929" spans="2:25" s="210" customFormat="1" ht="89.25" x14ac:dyDescent="0.25">
      <c r="B929" s="2021"/>
      <c r="C929" s="674"/>
      <c r="D929" s="674"/>
      <c r="E929" s="674"/>
      <c r="F929" s="674"/>
      <c r="G929" s="1476" t="s">
        <v>1745</v>
      </c>
      <c r="H929" s="1476" t="s">
        <v>1746</v>
      </c>
      <c r="I929" s="1473" t="s">
        <v>1747</v>
      </c>
      <c r="J929" s="863"/>
      <c r="K929" s="1450">
        <v>90</v>
      </c>
      <c r="L929" s="1266">
        <f>150000000/1000</f>
        <v>150000</v>
      </c>
      <c r="M929" s="1450">
        <v>95</v>
      </c>
      <c r="N929" s="1266">
        <f>150000000/1000</f>
        <v>150000</v>
      </c>
      <c r="O929" s="1450">
        <v>100</v>
      </c>
      <c r="P929" s="1266">
        <f>(10%*150000000+150000000/100)/100</f>
        <v>165000</v>
      </c>
      <c r="Q929" s="1450">
        <v>105</v>
      </c>
      <c r="R929" s="1266">
        <f>(10%*165000000+165000000/100)/100</f>
        <v>181500</v>
      </c>
      <c r="S929" s="1450">
        <v>110</v>
      </c>
      <c r="T929" s="1266">
        <f>(10%*181500000+181500000/100)/100</f>
        <v>199650</v>
      </c>
      <c r="U929" s="1443">
        <v>115</v>
      </c>
      <c r="V929" s="1266">
        <f>(10%*199650000+199650000/100)/100</f>
        <v>219615</v>
      </c>
      <c r="W929" s="1266"/>
      <c r="X929" s="1266"/>
      <c r="Y929" s="1593" t="s">
        <v>1800</v>
      </c>
    </row>
    <row r="930" spans="2:25" s="210" customFormat="1" ht="89.25" x14ac:dyDescent="0.25">
      <c r="B930" s="2021"/>
      <c r="C930" s="674"/>
      <c r="D930" s="674"/>
      <c r="E930" s="674"/>
      <c r="F930" s="674"/>
      <c r="G930" s="1476" t="s">
        <v>1748</v>
      </c>
      <c r="H930" s="1476" t="s">
        <v>1749</v>
      </c>
      <c r="I930" s="1473" t="s">
        <v>97</v>
      </c>
      <c r="J930" s="173"/>
      <c r="K930" s="1448" t="s">
        <v>585</v>
      </c>
      <c r="L930" s="1439">
        <f>120000000/1000</f>
        <v>120000</v>
      </c>
      <c r="M930" s="1451" t="s">
        <v>585</v>
      </c>
      <c r="N930" s="1439">
        <f>120000000/1000</f>
        <v>120000</v>
      </c>
      <c r="O930" s="1451" t="s">
        <v>585</v>
      </c>
      <c r="P930" s="1439">
        <f>(10%*120000000+120000000/100)/100</f>
        <v>132000</v>
      </c>
      <c r="Q930" s="1451" t="s">
        <v>585</v>
      </c>
      <c r="R930" s="1439">
        <f>(10%*132000000+132000000/100)/100</f>
        <v>145200</v>
      </c>
      <c r="S930" s="1448" t="s">
        <v>585</v>
      </c>
      <c r="T930" s="1439">
        <f>(10%*145200000+145200000/100)/100</f>
        <v>159720</v>
      </c>
      <c r="U930" s="1438">
        <v>2</v>
      </c>
      <c r="V930" s="1439">
        <f>(10%*159720000+159720000/100)/100</f>
        <v>175692</v>
      </c>
      <c r="W930" s="1440"/>
      <c r="X930" s="1440"/>
      <c r="Y930" s="1593" t="s">
        <v>1800</v>
      </c>
    </row>
    <row r="931" spans="2:25" s="210" customFormat="1" ht="51" x14ac:dyDescent="0.25">
      <c r="B931" s="2021"/>
      <c r="C931" s="674"/>
      <c r="D931" s="674"/>
      <c r="E931" s="674"/>
      <c r="F931" s="674"/>
      <c r="G931" s="1476" t="s">
        <v>1750</v>
      </c>
      <c r="H931" s="1476" t="s">
        <v>1751</v>
      </c>
      <c r="I931" s="1473" t="s">
        <v>97</v>
      </c>
      <c r="J931" s="173"/>
      <c r="K931" s="1448" t="s">
        <v>586</v>
      </c>
      <c r="L931" s="1439">
        <f>55000000/1000</f>
        <v>55000</v>
      </c>
      <c r="M931" s="1448" t="s">
        <v>586</v>
      </c>
      <c r="N931" s="1439">
        <f>80000000/1000</f>
        <v>80000</v>
      </c>
      <c r="O931" s="1448" t="s">
        <v>586</v>
      </c>
      <c r="P931" s="1439">
        <f>(10%*80000000+80000000/100)/100</f>
        <v>88000</v>
      </c>
      <c r="Q931" s="1448" t="s">
        <v>586</v>
      </c>
      <c r="R931" s="1439">
        <f>(10%*88000000+88000000/100)/100</f>
        <v>96800</v>
      </c>
      <c r="S931" s="1448" t="s">
        <v>586</v>
      </c>
      <c r="T931" s="1439">
        <f>(10%*96800000+96800000/100)/100</f>
        <v>106480</v>
      </c>
      <c r="U931" s="1438">
        <v>1</v>
      </c>
      <c r="V931" s="1439">
        <f>(10%*106480000+106480000/100)/100</f>
        <v>117128</v>
      </c>
      <c r="W931" s="1440"/>
      <c r="X931" s="1440"/>
      <c r="Y931" s="1593" t="s">
        <v>1800</v>
      </c>
    </row>
    <row r="932" spans="2:25" s="210" customFormat="1" ht="38.25" x14ac:dyDescent="0.25">
      <c r="B932" s="2021"/>
      <c r="C932" s="674"/>
      <c r="D932" s="674"/>
      <c r="E932" s="674"/>
      <c r="F932" s="674"/>
      <c r="G932" s="1476" t="s">
        <v>1752</v>
      </c>
      <c r="H932" s="1476" t="s">
        <v>1753</v>
      </c>
      <c r="I932" s="1473" t="s">
        <v>103</v>
      </c>
      <c r="J932" s="1438"/>
      <c r="K932" s="1473">
        <v>449</v>
      </c>
      <c r="L932" s="1439">
        <f>750000000/1000</f>
        <v>750000</v>
      </c>
      <c r="M932" s="1451" t="s">
        <v>1754</v>
      </c>
      <c r="N932" s="1439">
        <f>750000000/1000</f>
        <v>750000</v>
      </c>
      <c r="O932" s="1451" t="s">
        <v>1754</v>
      </c>
      <c r="P932" s="1439">
        <f>(10%*750000000+750000000/100)/100</f>
        <v>825000</v>
      </c>
      <c r="Q932" s="1451" t="s">
        <v>1754</v>
      </c>
      <c r="R932" s="1439">
        <f>(10%*825000000+825000000/100)/100</f>
        <v>907500</v>
      </c>
      <c r="S932" s="1448" t="s">
        <v>1754</v>
      </c>
      <c r="T932" s="1439">
        <f>(10%*907500000+907500000/100)/100</f>
        <v>998250</v>
      </c>
      <c r="U932" s="1438">
        <v>449</v>
      </c>
      <c r="V932" s="1439">
        <f>(10%*998250000+998250000/100)/100</f>
        <v>1098075</v>
      </c>
      <c r="W932" s="1440"/>
      <c r="X932" s="1440"/>
      <c r="Y932" s="1593" t="s">
        <v>1800</v>
      </c>
    </row>
    <row r="933" spans="2:25" s="210" customFormat="1" ht="102" x14ac:dyDescent="0.25">
      <c r="B933" s="2021"/>
      <c r="C933" s="674"/>
      <c r="D933" s="674"/>
      <c r="E933" s="674"/>
      <c r="F933" s="674"/>
      <c r="G933" s="1476" t="s">
        <v>1755</v>
      </c>
      <c r="H933" s="1476" t="s">
        <v>1756</v>
      </c>
      <c r="I933" s="1473" t="s">
        <v>103</v>
      </c>
      <c r="J933" s="863"/>
      <c r="K933" s="1450" t="s">
        <v>1757</v>
      </c>
      <c r="L933" s="1266">
        <f>250000000/1000</f>
        <v>250000</v>
      </c>
      <c r="M933" s="1450" t="s">
        <v>1757</v>
      </c>
      <c r="N933" s="1266">
        <f>120000000/1000</f>
        <v>120000</v>
      </c>
      <c r="O933" s="1450" t="s">
        <v>1757</v>
      </c>
      <c r="P933" s="1266">
        <f>230000000/1000</f>
        <v>230000</v>
      </c>
      <c r="Q933" s="1450" t="s">
        <v>1757</v>
      </c>
      <c r="R933" s="1266">
        <f>(10%*230000000+230000000/100)/100</f>
        <v>253000</v>
      </c>
      <c r="S933" s="1450" t="s">
        <v>1757</v>
      </c>
      <c r="T933" s="1266">
        <f>(10%*253000000+253000000/100)/100</f>
        <v>278300</v>
      </c>
      <c r="U933" s="1443">
        <v>26</v>
      </c>
      <c r="V933" s="1266">
        <f>(10%*278300000+278300000/100)/100</f>
        <v>306130</v>
      </c>
      <c r="W933" s="1266"/>
      <c r="X933" s="1440"/>
      <c r="Y933" s="1593" t="s">
        <v>1800</v>
      </c>
    </row>
    <row r="934" spans="2:25" s="210" customFormat="1" ht="25.5" x14ac:dyDescent="0.25">
      <c r="B934" s="2021"/>
      <c r="C934" s="674"/>
      <c r="D934" s="674"/>
      <c r="E934" s="674"/>
      <c r="F934" s="674"/>
      <c r="G934" s="1476" t="s">
        <v>1758</v>
      </c>
      <c r="H934" s="1476" t="s">
        <v>1759</v>
      </c>
      <c r="I934" s="1473" t="s">
        <v>219</v>
      </c>
      <c r="J934" s="863"/>
      <c r="K934" s="1450">
        <v>1</v>
      </c>
      <c r="L934" s="1266">
        <f>55000000/1000</f>
        <v>55000</v>
      </c>
      <c r="M934" s="1450">
        <v>1</v>
      </c>
      <c r="N934" s="1266">
        <f>65000000/1000</f>
        <v>65000</v>
      </c>
      <c r="O934" s="1450">
        <v>1</v>
      </c>
      <c r="P934" s="1266">
        <f>70000000/1000</f>
        <v>70000</v>
      </c>
      <c r="Q934" s="1450">
        <v>1</v>
      </c>
      <c r="R934" s="1266">
        <f>(10%*70000000+70000000/100)/100</f>
        <v>77000</v>
      </c>
      <c r="S934" s="1450">
        <v>1</v>
      </c>
      <c r="T934" s="1266">
        <f>(10%*77000000+77000000/100)/100</f>
        <v>84700</v>
      </c>
      <c r="U934" s="1443">
        <v>1</v>
      </c>
      <c r="V934" s="1266">
        <f>(10%*84700000+84700000/100)/100</f>
        <v>93170</v>
      </c>
      <c r="W934" s="1266"/>
      <c r="X934" s="1440"/>
      <c r="Y934" s="1593" t="s">
        <v>1800</v>
      </c>
    </row>
    <row r="935" spans="2:25" s="210" customFormat="1" ht="102" x14ac:dyDescent="0.25">
      <c r="B935" s="2021"/>
      <c r="C935" s="674"/>
      <c r="D935" s="674"/>
      <c r="E935" s="674"/>
      <c r="F935" s="674"/>
      <c r="G935" s="2019" t="s">
        <v>1760</v>
      </c>
      <c r="H935" s="173" t="s">
        <v>1761</v>
      </c>
      <c r="I935" s="1473" t="s">
        <v>97</v>
      </c>
      <c r="J935" s="173"/>
      <c r="K935" s="890">
        <v>5</v>
      </c>
      <c r="L935" s="1266">
        <f>47500000/1000</f>
        <v>47500</v>
      </c>
      <c r="M935" s="1450">
        <v>5</v>
      </c>
      <c r="N935" s="1266">
        <f>47500000/1000</f>
        <v>47500</v>
      </c>
      <c r="O935" s="1450">
        <v>5</v>
      </c>
      <c r="P935" s="1266">
        <f>47500000/1000</f>
        <v>47500</v>
      </c>
      <c r="Q935" s="1450">
        <v>5</v>
      </c>
      <c r="R935" s="1266">
        <f>47500000/1000</f>
        <v>47500</v>
      </c>
      <c r="S935" s="1450">
        <v>5</v>
      </c>
      <c r="T935" s="1266">
        <f>47500000/1000</f>
        <v>47500</v>
      </c>
      <c r="U935" s="1443">
        <v>5</v>
      </c>
      <c r="V935" s="1266">
        <f>47500000/1000</f>
        <v>47500</v>
      </c>
      <c r="W935" s="1266"/>
      <c r="X935" s="1440"/>
      <c r="Y935" s="1593" t="s">
        <v>1800</v>
      </c>
    </row>
    <row r="936" spans="2:25" s="210" customFormat="1" ht="63.75" x14ac:dyDescent="0.25">
      <c r="B936" s="2021"/>
      <c r="C936" s="674"/>
      <c r="D936" s="674"/>
      <c r="E936" s="674"/>
      <c r="F936" s="674"/>
      <c r="G936" s="2019"/>
      <c r="H936" s="173" t="s">
        <v>1762</v>
      </c>
      <c r="I936" s="1473" t="s">
        <v>100</v>
      </c>
      <c r="J936" s="173"/>
      <c r="K936" s="890">
        <v>449</v>
      </c>
      <c r="L936" s="1266">
        <f>78422000/1000</f>
        <v>78422</v>
      </c>
      <c r="M936" s="1450">
        <v>0</v>
      </c>
      <c r="N936" s="1266">
        <v>0</v>
      </c>
      <c r="O936" s="1450">
        <v>0</v>
      </c>
      <c r="P936" s="1266">
        <v>0</v>
      </c>
      <c r="Q936" s="1450">
        <v>0</v>
      </c>
      <c r="R936" s="1266">
        <v>0</v>
      </c>
      <c r="S936" s="1450">
        <v>0</v>
      </c>
      <c r="T936" s="1266">
        <v>0</v>
      </c>
      <c r="U936" s="1443">
        <v>0</v>
      </c>
      <c r="V936" s="1266">
        <v>0</v>
      </c>
      <c r="W936" s="1266"/>
      <c r="X936" s="1440"/>
      <c r="Y936" s="1593" t="s">
        <v>1800</v>
      </c>
    </row>
    <row r="937" spans="2:25" s="210" customFormat="1" ht="63.75" x14ac:dyDescent="0.25">
      <c r="B937" s="2021"/>
      <c r="C937" s="674"/>
      <c r="D937" s="674"/>
      <c r="E937" s="674"/>
      <c r="F937" s="674"/>
      <c r="G937" s="1476" t="s">
        <v>1763</v>
      </c>
      <c r="H937" s="1476" t="s">
        <v>1764</v>
      </c>
      <c r="I937" s="1473" t="s">
        <v>97</v>
      </c>
      <c r="J937" s="1450"/>
      <c r="K937" s="1450">
        <v>13</v>
      </c>
      <c r="L937" s="1266">
        <f>50000000/1000</f>
        <v>50000</v>
      </c>
      <c r="M937" s="1450">
        <v>13</v>
      </c>
      <c r="N937" s="1266">
        <f>50000000/1000</f>
        <v>50000</v>
      </c>
      <c r="O937" s="1450">
        <v>13</v>
      </c>
      <c r="P937" s="1266">
        <f>60000000/1000</f>
        <v>60000</v>
      </c>
      <c r="Q937" s="1450">
        <v>13</v>
      </c>
      <c r="R937" s="1266">
        <f>60000000/1000</f>
        <v>60000</v>
      </c>
      <c r="S937" s="1450">
        <v>13</v>
      </c>
      <c r="T937" s="1266">
        <f>60000000/1000</f>
        <v>60000</v>
      </c>
      <c r="U937" s="1443">
        <v>13</v>
      </c>
      <c r="V937" s="1266" t="s">
        <v>1765</v>
      </c>
      <c r="W937" s="1266"/>
      <c r="X937" s="1440"/>
      <c r="Y937" s="1593" t="s">
        <v>1800</v>
      </c>
    </row>
    <row r="938" spans="2:25" s="210" customFormat="1" ht="89.25" x14ac:dyDescent="0.25">
      <c r="B938" s="2021"/>
      <c r="C938" s="674"/>
      <c r="D938" s="674"/>
      <c r="E938" s="674"/>
      <c r="F938" s="674"/>
      <c r="G938" s="1476" t="s">
        <v>1766</v>
      </c>
      <c r="H938" s="173" t="s">
        <v>1767</v>
      </c>
      <c r="I938" s="1473" t="s">
        <v>97</v>
      </c>
      <c r="J938" s="1450"/>
      <c r="K938" s="1450">
        <v>0</v>
      </c>
      <c r="L938" s="1266">
        <v>0</v>
      </c>
      <c r="M938" s="1450">
        <v>449</v>
      </c>
      <c r="N938" s="1266">
        <f>150000000/1000</f>
        <v>150000</v>
      </c>
      <c r="O938" s="1450">
        <v>449</v>
      </c>
      <c r="P938" s="1439">
        <f>(10%*150000000+150000000/100)/100</f>
        <v>165000</v>
      </c>
      <c r="Q938" s="1450">
        <v>449</v>
      </c>
      <c r="R938" s="1439">
        <f>(10%*165000000+165000000/100)/100</f>
        <v>181500</v>
      </c>
      <c r="S938" s="1450">
        <v>449</v>
      </c>
      <c r="T938" s="1439">
        <f>(10%*181500000+181500000/100)/100</f>
        <v>199650</v>
      </c>
      <c r="U938" s="1443">
        <v>449</v>
      </c>
      <c r="V938" s="1439">
        <f>(10%*200000000+200000000/100)/100</f>
        <v>220000</v>
      </c>
      <c r="W938" s="1266"/>
      <c r="X938" s="1440"/>
      <c r="Y938" s="1593" t="s">
        <v>1800</v>
      </c>
    </row>
    <row r="939" spans="2:25" s="210" customFormat="1" ht="63.75" x14ac:dyDescent="0.25">
      <c r="B939" s="2021"/>
      <c r="C939" s="674"/>
      <c r="D939" s="674"/>
      <c r="E939" s="674"/>
      <c r="F939" s="1742"/>
      <c r="G939" s="173" t="s">
        <v>1768</v>
      </c>
      <c r="H939" s="1476" t="s">
        <v>1769</v>
      </c>
      <c r="I939" s="1473" t="s">
        <v>1770</v>
      </c>
      <c r="J939" s="173"/>
      <c r="K939" s="1448">
        <v>11</v>
      </c>
      <c r="L939" s="1439">
        <f>SUM(L940:L948)</f>
        <v>700000</v>
      </c>
      <c r="M939" s="1448">
        <v>11</v>
      </c>
      <c r="N939" s="1439">
        <f>SUM(N940:N948)</f>
        <v>730000</v>
      </c>
      <c r="O939" s="1448">
        <v>11</v>
      </c>
      <c r="P939" s="1439">
        <f>SUM(P940:P948)</f>
        <v>948000</v>
      </c>
      <c r="Q939" s="1448">
        <v>11</v>
      </c>
      <c r="R939" s="1439">
        <f>SUM(R940:R948)</f>
        <v>1037700</v>
      </c>
      <c r="S939" s="1448">
        <v>11</v>
      </c>
      <c r="T939" s="1439">
        <f>SUM(T940:T948)</f>
        <v>1135670</v>
      </c>
      <c r="U939" s="1438">
        <v>11</v>
      </c>
      <c r="V939" s="1439">
        <f>SUM(V940:V948)</f>
        <v>1240737</v>
      </c>
      <c r="W939" s="1440">
        <f>S939+Q939+O939+M939+K939</f>
        <v>55</v>
      </c>
      <c r="X939" s="1440"/>
      <c r="Y939" s="1593" t="s">
        <v>1800</v>
      </c>
    </row>
    <row r="940" spans="2:25" s="210" customFormat="1" ht="63.75" x14ac:dyDescent="0.25">
      <c r="B940" s="2021"/>
      <c r="C940" s="674"/>
      <c r="D940" s="674"/>
      <c r="E940" s="674"/>
      <c r="F940" s="674"/>
      <c r="G940" s="1476" t="s">
        <v>1771</v>
      </c>
      <c r="H940" s="1476" t="s">
        <v>1772</v>
      </c>
      <c r="I940" s="1473" t="s">
        <v>100</v>
      </c>
      <c r="J940" s="173"/>
      <c r="K940" s="890">
        <v>162</v>
      </c>
      <c r="L940" s="1439">
        <v>60000</v>
      </c>
      <c r="M940" s="890">
        <v>194</v>
      </c>
      <c r="N940" s="1439">
        <f>70000000/1000</f>
        <v>70000</v>
      </c>
      <c r="O940" s="890">
        <v>200</v>
      </c>
      <c r="P940" s="1439">
        <f>(10%*70000000+70000000/100)/100</f>
        <v>77000</v>
      </c>
      <c r="Q940" s="890">
        <v>200</v>
      </c>
      <c r="R940" s="1439">
        <f>(10%*77000000+77000000/100)/100</f>
        <v>84700</v>
      </c>
      <c r="S940" s="890">
        <v>210</v>
      </c>
      <c r="T940" s="1439">
        <f>(10%*84700000+84700000/100)/100</f>
        <v>93170</v>
      </c>
      <c r="U940" s="1438">
        <v>220</v>
      </c>
      <c r="V940" s="1439">
        <f>(10%*93170000+93170000/100)/100</f>
        <v>102487</v>
      </c>
      <c r="W940" s="1439"/>
      <c r="X940" s="1439"/>
      <c r="Y940" s="1593" t="s">
        <v>1800</v>
      </c>
    </row>
    <row r="941" spans="2:25" s="210" customFormat="1" ht="114.75" x14ac:dyDescent="0.25">
      <c r="B941" s="2021"/>
      <c r="C941" s="674"/>
      <c r="D941" s="674"/>
      <c r="E941" s="674"/>
      <c r="F941" s="674"/>
      <c r="G941" s="2019" t="s">
        <v>1773</v>
      </c>
      <c r="H941" s="1476" t="s">
        <v>1774</v>
      </c>
      <c r="I941" s="1473" t="s">
        <v>103</v>
      </c>
      <c r="J941" s="173"/>
      <c r="K941" s="1445">
        <v>6</v>
      </c>
      <c r="L941" s="2056">
        <v>150000</v>
      </c>
      <c r="M941" s="1445">
        <v>3</v>
      </c>
      <c r="N941" s="2056">
        <f>100000000/1000</f>
        <v>100000</v>
      </c>
      <c r="O941" s="1445">
        <v>8</v>
      </c>
      <c r="P941" s="2056">
        <f>250000000/1000</f>
        <v>250000</v>
      </c>
      <c r="Q941" s="1445">
        <v>8</v>
      </c>
      <c r="R941" s="2056">
        <f>(10%*250000000+250000000/100)/100</f>
        <v>275000</v>
      </c>
      <c r="S941" s="1445">
        <v>8</v>
      </c>
      <c r="T941" s="2056">
        <f>(10%*275000000+275000000/100)/100</f>
        <v>302500</v>
      </c>
      <c r="U941" s="1445">
        <v>8</v>
      </c>
      <c r="V941" s="2056">
        <f>(10%*302500000+302500000/100)/100</f>
        <v>332750</v>
      </c>
      <c r="W941" s="1439"/>
      <c r="X941" s="1439"/>
      <c r="Y941" s="1593" t="s">
        <v>1800</v>
      </c>
    </row>
    <row r="942" spans="2:25" s="210" customFormat="1" ht="38.25" x14ac:dyDescent="0.25">
      <c r="B942" s="2021"/>
      <c r="C942" s="674"/>
      <c r="D942" s="674"/>
      <c r="E942" s="674"/>
      <c r="F942" s="674"/>
      <c r="G942" s="2019"/>
      <c r="H942" s="1476" t="s">
        <v>1775</v>
      </c>
      <c r="I942" s="1473" t="s">
        <v>103</v>
      </c>
      <c r="J942" s="173"/>
      <c r="K942" s="1445">
        <v>1</v>
      </c>
      <c r="L942" s="2056"/>
      <c r="M942" s="1445">
        <v>1</v>
      </c>
      <c r="N942" s="2056"/>
      <c r="O942" s="1445">
        <v>1</v>
      </c>
      <c r="P942" s="2056"/>
      <c r="Q942" s="1445">
        <v>1</v>
      </c>
      <c r="R942" s="2056"/>
      <c r="S942" s="1445">
        <v>1</v>
      </c>
      <c r="T942" s="2056"/>
      <c r="U942" s="1445">
        <v>1</v>
      </c>
      <c r="V942" s="2056"/>
      <c r="W942" s="1439"/>
      <c r="X942" s="1439"/>
      <c r="Y942" s="1593" t="s">
        <v>1800</v>
      </c>
    </row>
    <row r="943" spans="2:25" s="210" customFormat="1" ht="38.25" x14ac:dyDescent="0.25">
      <c r="B943" s="2021"/>
      <c r="C943" s="674"/>
      <c r="D943" s="674"/>
      <c r="E943" s="674"/>
      <c r="F943" s="674"/>
      <c r="G943" s="1476" t="s">
        <v>1776</v>
      </c>
      <c r="H943" s="1476" t="s">
        <v>1776</v>
      </c>
      <c r="I943" s="1473" t="s">
        <v>97</v>
      </c>
      <c r="J943" s="863"/>
      <c r="K943" s="1450">
        <v>78</v>
      </c>
      <c r="L943" s="1266">
        <v>50000</v>
      </c>
      <c r="M943" s="1450">
        <v>78</v>
      </c>
      <c r="N943" s="1266">
        <f>50000000/1000</f>
        <v>50000</v>
      </c>
      <c r="O943" s="1450">
        <v>78</v>
      </c>
      <c r="P943" s="1266">
        <f>60000000/1000</f>
        <v>60000</v>
      </c>
      <c r="Q943" s="1450">
        <v>78</v>
      </c>
      <c r="R943" s="1266">
        <f>(10%*60000000+60000000/100)/100</f>
        <v>66000</v>
      </c>
      <c r="S943" s="1450">
        <v>78</v>
      </c>
      <c r="T943" s="1266">
        <f>(10%*66000000+66000000/100)/100</f>
        <v>72600</v>
      </c>
      <c r="U943" s="1443">
        <v>78</v>
      </c>
      <c r="V943" s="1266">
        <f>(10%*72600000+72600000/100)/100</f>
        <v>79860</v>
      </c>
      <c r="W943" s="1266"/>
      <c r="X943" s="1440"/>
      <c r="Y943" s="1593" t="s">
        <v>1800</v>
      </c>
    </row>
    <row r="944" spans="2:25" s="210" customFormat="1" ht="76.5" x14ac:dyDescent="0.25">
      <c r="B944" s="2021"/>
      <c r="C944" s="674"/>
      <c r="D944" s="674"/>
      <c r="E944" s="674"/>
      <c r="F944" s="674"/>
      <c r="G944" s="2019" t="s">
        <v>1777</v>
      </c>
      <c r="H944" s="1476" t="s">
        <v>1778</v>
      </c>
      <c r="I944" s="1473" t="s">
        <v>109</v>
      </c>
      <c r="J944" s="173"/>
      <c r="K944" s="173">
        <v>26</v>
      </c>
      <c r="L944" s="2056">
        <v>400000</v>
      </c>
      <c r="M944" s="173">
        <v>26</v>
      </c>
      <c r="N944" s="2056">
        <f>400000000/1000</f>
        <v>400000</v>
      </c>
      <c r="O944" s="173">
        <v>26</v>
      </c>
      <c r="P944" s="2056">
        <f>(10%*400000000+400000000/100)/100</f>
        <v>440000</v>
      </c>
      <c r="Q944" s="173">
        <v>26</v>
      </c>
      <c r="R944" s="2056">
        <f>(10%*440000000+440000000/100)/100</f>
        <v>484000</v>
      </c>
      <c r="S944" s="173">
        <v>26</v>
      </c>
      <c r="T944" s="2056">
        <f>(10%*484000000+484000000/100)/100</f>
        <v>532400</v>
      </c>
      <c r="U944" s="173">
        <v>26</v>
      </c>
      <c r="V944" s="2056">
        <f>(10%*532400000+532400000/100)/100</f>
        <v>585640</v>
      </c>
      <c r="W944" s="1440"/>
      <c r="X944" s="1440"/>
      <c r="Y944" s="1593" t="s">
        <v>1800</v>
      </c>
    </row>
    <row r="945" spans="2:25" s="210" customFormat="1" ht="63.75" x14ac:dyDescent="0.25">
      <c r="B945" s="2021"/>
      <c r="C945" s="674"/>
      <c r="D945" s="674"/>
      <c r="E945" s="674"/>
      <c r="F945" s="674"/>
      <c r="G945" s="2019"/>
      <c r="H945" s="1476" t="s">
        <v>1779</v>
      </c>
      <c r="I945" s="1473" t="s">
        <v>1780</v>
      </c>
      <c r="J945" s="173"/>
      <c r="K945" s="173">
        <v>6</v>
      </c>
      <c r="L945" s="2056"/>
      <c r="M945" s="173">
        <v>6</v>
      </c>
      <c r="N945" s="2056"/>
      <c r="O945" s="173">
        <v>6</v>
      </c>
      <c r="P945" s="2056"/>
      <c r="Q945" s="173">
        <v>6</v>
      </c>
      <c r="R945" s="2056"/>
      <c r="S945" s="173">
        <v>6</v>
      </c>
      <c r="T945" s="2056"/>
      <c r="U945" s="173">
        <v>6</v>
      </c>
      <c r="V945" s="2056"/>
      <c r="W945" s="1440"/>
      <c r="X945" s="1440"/>
      <c r="Y945" s="1593" t="s">
        <v>1800</v>
      </c>
    </row>
    <row r="946" spans="2:25" s="210" customFormat="1" ht="76.5" x14ac:dyDescent="0.25">
      <c r="B946" s="2021"/>
      <c r="C946" s="674"/>
      <c r="D946" s="674"/>
      <c r="E946" s="674"/>
      <c r="F946" s="674"/>
      <c r="G946" s="2019" t="s">
        <v>1781</v>
      </c>
      <c r="H946" s="1476" t="s">
        <v>1782</v>
      </c>
      <c r="I946" s="1473" t="s">
        <v>109</v>
      </c>
      <c r="J946" s="890"/>
      <c r="K946" s="1448">
        <v>26</v>
      </c>
      <c r="L946" s="2056">
        <v>40000</v>
      </c>
      <c r="M946" s="1448">
        <v>26</v>
      </c>
      <c r="N946" s="2056">
        <f>110000000/1000</f>
        <v>110000</v>
      </c>
      <c r="O946" s="1448">
        <v>26</v>
      </c>
      <c r="P946" s="2056">
        <f>121000000/1000</f>
        <v>121000</v>
      </c>
      <c r="Q946" s="1448">
        <v>26</v>
      </c>
      <c r="R946" s="2056">
        <f>128000000/1000</f>
        <v>128000</v>
      </c>
      <c r="S946" s="1448">
        <v>26</v>
      </c>
      <c r="T946" s="2056">
        <f>135000000/1000</f>
        <v>135000</v>
      </c>
      <c r="U946" s="1448">
        <v>26</v>
      </c>
      <c r="V946" s="2056">
        <f>140000000/1000</f>
        <v>140000</v>
      </c>
      <c r="W946" s="1440"/>
      <c r="X946" s="1440"/>
      <c r="Y946" s="1593" t="s">
        <v>1800</v>
      </c>
    </row>
    <row r="947" spans="2:25" s="210" customFormat="1" ht="51" x14ac:dyDescent="0.25">
      <c r="B947" s="2021"/>
      <c r="C947" s="674"/>
      <c r="D947" s="674"/>
      <c r="E947" s="674"/>
      <c r="F947" s="674"/>
      <c r="G947" s="2019"/>
      <c r="H947" s="1476" t="s">
        <v>1783</v>
      </c>
      <c r="I947" s="1473" t="s">
        <v>303</v>
      </c>
      <c r="J947" s="890"/>
      <c r="K947" s="1448">
        <v>0</v>
      </c>
      <c r="L947" s="2056"/>
      <c r="M947" s="1448">
        <v>1</v>
      </c>
      <c r="N947" s="2056"/>
      <c r="O947" s="1448">
        <v>1</v>
      </c>
      <c r="P947" s="2056"/>
      <c r="Q947" s="1448">
        <v>1</v>
      </c>
      <c r="R947" s="2056"/>
      <c r="S947" s="1448">
        <v>1</v>
      </c>
      <c r="T947" s="2056"/>
      <c r="U947" s="1448">
        <v>1</v>
      </c>
      <c r="V947" s="2056"/>
      <c r="W947" s="1440"/>
      <c r="X947" s="1440"/>
      <c r="Y947" s="1593" t="s">
        <v>1800</v>
      </c>
    </row>
    <row r="948" spans="2:25" s="210" customFormat="1" ht="51" x14ac:dyDescent="0.25">
      <c r="B948" s="2021"/>
      <c r="C948" s="674"/>
      <c r="D948" s="674"/>
      <c r="E948" s="674"/>
      <c r="F948" s="674"/>
      <c r="G948" s="2019"/>
      <c r="H948" s="1476" t="s">
        <v>1784</v>
      </c>
      <c r="I948" s="1473" t="s">
        <v>1785</v>
      </c>
      <c r="J948" s="890"/>
      <c r="K948" s="1448">
        <v>2</v>
      </c>
      <c r="L948" s="2056"/>
      <c r="M948" s="1448">
        <v>2</v>
      </c>
      <c r="N948" s="2056"/>
      <c r="O948" s="1448">
        <v>2</v>
      </c>
      <c r="P948" s="2056"/>
      <c r="Q948" s="1448">
        <v>2</v>
      </c>
      <c r="R948" s="2056"/>
      <c r="S948" s="1448">
        <v>2</v>
      </c>
      <c r="T948" s="2056"/>
      <c r="U948" s="1448">
        <v>2</v>
      </c>
      <c r="V948" s="2056"/>
      <c r="W948" s="1440"/>
      <c r="X948" s="1440"/>
      <c r="Y948" s="1593" t="s">
        <v>1800</v>
      </c>
    </row>
    <row r="949" spans="2:25" s="210" customFormat="1" ht="51" x14ac:dyDescent="0.25">
      <c r="B949" s="2021"/>
      <c r="C949" s="674"/>
      <c r="D949" s="674"/>
      <c r="E949" s="674"/>
      <c r="F949" s="1742"/>
      <c r="G949" s="173" t="s">
        <v>1786</v>
      </c>
      <c r="H949" s="1476" t="s">
        <v>1787</v>
      </c>
      <c r="I949" s="1473" t="s">
        <v>100</v>
      </c>
      <c r="J949" s="1450">
        <f>J950</f>
        <v>300</v>
      </c>
      <c r="K949" s="1450">
        <f>K950</f>
        <v>60</v>
      </c>
      <c r="L949" s="1452">
        <f>SUM(L950)</f>
        <v>60000</v>
      </c>
      <c r="M949" s="1450">
        <f>M950</f>
        <v>60</v>
      </c>
      <c r="N949" s="1452">
        <f>SUM(N950)</f>
        <v>60000</v>
      </c>
      <c r="O949" s="1450">
        <f>O950</f>
        <v>60</v>
      </c>
      <c r="P949" s="1452">
        <f>SUM(P950)</f>
        <v>70000</v>
      </c>
      <c r="Q949" s="1450">
        <f>Q950</f>
        <v>60</v>
      </c>
      <c r="R949" s="1452">
        <f>SUM(R950)</f>
        <v>77000</v>
      </c>
      <c r="S949" s="1450">
        <f>S950</f>
        <v>60</v>
      </c>
      <c r="T949" s="1452">
        <f>SUM(T950)</f>
        <v>84700</v>
      </c>
      <c r="U949" s="1450">
        <f>U950</f>
        <v>60</v>
      </c>
      <c r="V949" s="1452">
        <f>SUM(V950)</f>
        <v>93170</v>
      </c>
      <c r="W949" s="1266">
        <f>S949+Q949+O949+M949+K949</f>
        <v>300</v>
      </c>
      <c r="X949" s="1440"/>
      <c r="Y949" s="1593" t="s">
        <v>1800</v>
      </c>
    </row>
    <row r="950" spans="2:25" s="210" customFormat="1" ht="63.75" x14ac:dyDescent="0.25">
      <c r="B950" s="2021"/>
      <c r="C950" s="674"/>
      <c r="D950" s="674"/>
      <c r="E950" s="674"/>
      <c r="F950" s="674"/>
      <c r="G950" s="1476" t="s">
        <v>1788</v>
      </c>
      <c r="H950" s="1476" t="s">
        <v>1789</v>
      </c>
      <c r="I950" s="1473" t="s">
        <v>100</v>
      </c>
      <c r="J950" s="173">
        <v>300</v>
      </c>
      <c r="K950" s="1448">
        <v>60</v>
      </c>
      <c r="L950" s="1452">
        <f>60000000/1000</f>
        <v>60000</v>
      </c>
      <c r="M950" s="1448">
        <v>60</v>
      </c>
      <c r="N950" s="1452">
        <f>60000000/1000</f>
        <v>60000</v>
      </c>
      <c r="O950" s="1448">
        <v>60</v>
      </c>
      <c r="P950" s="1439">
        <f>70000000/1000</f>
        <v>70000</v>
      </c>
      <c r="Q950" s="1448">
        <v>60</v>
      </c>
      <c r="R950" s="1439">
        <f>(10%*70000000+70000000/100)/100</f>
        <v>77000</v>
      </c>
      <c r="S950" s="1448">
        <v>60</v>
      </c>
      <c r="T950" s="1439">
        <f>(10%*77000000+77000000/100)/100</f>
        <v>84700</v>
      </c>
      <c r="U950" s="1438">
        <v>60</v>
      </c>
      <c r="V950" s="1439">
        <f>(10%*84700000+84700000/100)/100</f>
        <v>93170</v>
      </c>
      <c r="W950" s="1440">
        <f>S950+Q950+O950+M950+K950</f>
        <v>300</v>
      </c>
      <c r="X950" s="1440"/>
      <c r="Y950" s="1593" t="s">
        <v>1800</v>
      </c>
    </row>
    <row r="951" spans="2:25" s="210" customFormat="1" ht="51" x14ac:dyDescent="0.25">
      <c r="B951" s="2021"/>
      <c r="C951" s="674"/>
      <c r="D951" s="674"/>
      <c r="E951" s="674"/>
      <c r="F951" s="674"/>
      <c r="G951" s="173" t="s">
        <v>1791</v>
      </c>
      <c r="H951" s="173" t="s">
        <v>1790</v>
      </c>
      <c r="I951" s="1473" t="s">
        <v>19</v>
      </c>
      <c r="J951" s="173">
        <v>100</v>
      </c>
      <c r="K951" s="173">
        <v>100</v>
      </c>
      <c r="L951" s="1439">
        <f>SUM(L952:L955)</f>
        <v>100000</v>
      </c>
      <c r="M951" s="173">
        <v>100</v>
      </c>
      <c r="N951" s="1439">
        <f>SUM(N952:N955)</f>
        <v>100000</v>
      </c>
      <c r="O951" s="173">
        <v>100</v>
      </c>
      <c r="P951" s="1439">
        <f>SUM(P952:P955)</f>
        <v>170000</v>
      </c>
      <c r="Q951" s="173">
        <v>100</v>
      </c>
      <c r="R951" s="1439">
        <f>SUM(R952:R955)</f>
        <v>187000</v>
      </c>
      <c r="S951" s="173">
        <v>100</v>
      </c>
      <c r="T951" s="1439">
        <f>SUM(T952:T955)</f>
        <v>205700</v>
      </c>
      <c r="U951" s="173">
        <v>100</v>
      </c>
      <c r="V951" s="1439">
        <f>SUM(V952:V955)</f>
        <v>226270</v>
      </c>
      <c r="W951" s="1440">
        <f>S951+Q951+O951+M951+K951</f>
        <v>500</v>
      </c>
      <c r="X951" s="1440"/>
      <c r="Y951" s="1593" t="s">
        <v>1800</v>
      </c>
    </row>
    <row r="952" spans="2:25" s="210" customFormat="1" ht="89.25" x14ac:dyDescent="0.25">
      <c r="B952" s="2021"/>
      <c r="C952" s="674"/>
      <c r="D952" s="674"/>
      <c r="E952" s="674"/>
      <c r="F952" s="674"/>
      <c r="G952" s="1476" t="s">
        <v>1792</v>
      </c>
      <c r="H952" s="1476" t="s">
        <v>1793</v>
      </c>
      <c r="I952" s="1473" t="s">
        <v>79</v>
      </c>
      <c r="J952" s="1438"/>
      <c r="K952" s="173">
        <v>449</v>
      </c>
      <c r="L952" s="1439">
        <f>100000000/1000</f>
        <v>100000</v>
      </c>
      <c r="M952" s="173">
        <v>0</v>
      </c>
      <c r="N952" s="1439">
        <v>0</v>
      </c>
      <c r="O952" s="173">
        <v>0</v>
      </c>
      <c r="P952" s="1439">
        <v>0</v>
      </c>
      <c r="Q952" s="173">
        <v>0</v>
      </c>
      <c r="R952" s="1439">
        <v>0</v>
      </c>
      <c r="S952" s="173">
        <v>0</v>
      </c>
      <c r="T952" s="1439">
        <v>0</v>
      </c>
      <c r="U952" s="1438">
        <v>0</v>
      </c>
      <c r="V952" s="1439">
        <v>0</v>
      </c>
      <c r="W952" s="1440"/>
      <c r="X952" s="1440"/>
      <c r="Y952" s="1593" t="s">
        <v>1800</v>
      </c>
    </row>
    <row r="953" spans="2:25" s="210" customFormat="1" ht="63.75" x14ac:dyDescent="0.25">
      <c r="B953" s="2021"/>
      <c r="C953" s="674"/>
      <c r="D953" s="674"/>
      <c r="E953" s="674"/>
      <c r="F953" s="674"/>
      <c r="G953" s="1476" t="s">
        <v>1794</v>
      </c>
      <c r="H953" s="1476" t="s">
        <v>1795</v>
      </c>
      <c r="I953" s="1473" t="s">
        <v>265</v>
      </c>
      <c r="J953" s="1438"/>
      <c r="K953" s="173">
        <v>0</v>
      </c>
      <c r="L953" s="1439">
        <v>0</v>
      </c>
      <c r="M953" s="173">
        <v>449</v>
      </c>
      <c r="N953" s="1439">
        <f>100000000/1000</f>
        <v>100000</v>
      </c>
      <c r="O953" s="173">
        <v>449</v>
      </c>
      <c r="P953" s="1439">
        <f>(10%*100000000+100000000/100)/100</f>
        <v>110000</v>
      </c>
      <c r="Q953" s="173">
        <v>449</v>
      </c>
      <c r="R953" s="1439">
        <f>(10%*110000000+110000000/100)/100</f>
        <v>121000</v>
      </c>
      <c r="S953" s="173">
        <v>449</v>
      </c>
      <c r="T953" s="1439">
        <f>(10%*121000000+121000000/100)/100</f>
        <v>133100</v>
      </c>
      <c r="U953" s="1438">
        <v>449</v>
      </c>
      <c r="V953" s="1439">
        <f>(10%*133100000+133100000/100)/100</f>
        <v>146410</v>
      </c>
      <c r="W953" s="1440"/>
      <c r="X953" s="1440"/>
      <c r="Y953" s="1593" t="s">
        <v>1800</v>
      </c>
    </row>
    <row r="954" spans="2:25" s="210" customFormat="1" ht="140.25" x14ac:dyDescent="0.25">
      <c r="B954" s="2021"/>
      <c r="C954" s="674"/>
      <c r="D954" s="674"/>
      <c r="E954" s="674"/>
      <c r="F954" s="674"/>
      <c r="G954" s="2019" t="s">
        <v>1796</v>
      </c>
      <c r="H954" s="1476" t="s">
        <v>1797</v>
      </c>
      <c r="I954" s="1473" t="s">
        <v>265</v>
      </c>
      <c r="J954" s="1438"/>
      <c r="K954" s="173">
        <v>0</v>
      </c>
      <c r="L954" s="2057">
        <v>0</v>
      </c>
      <c r="M954" s="173">
        <v>0</v>
      </c>
      <c r="N954" s="2057">
        <v>0</v>
      </c>
      <c r="O954" s="173">
        <v>449</v>
      </c>
      <c r="P954" s="2057">
        <v>60000</v>
      </c>
      <c r="Q954" s="173">
        <v>449</v>
      </c>
      <c r="R954" s="2057">
        <v>66000</v>
      </c>
      <c r="S954" s="173">
        <v>449</v>
      </c>
      <c r="T954" s="2057">
        <f>72600</f>
        <v>72600</v>
      </c>
      <c r="U954" s="1438">
        <v>449</v>
      </c>
      <c r="V954" s="2057">
        <v>79860</v>
      </c>
      <c r="W954" s="1440"/>
      <c r="X954" s="2057"/>
      <c r="Y954" s="1593" t="s">
        <v>1800</v>
      </c>
    </row>
    <row r="955" spans="2:25" s="210" customFormat="1" ht="38.25" x14ac:dyDescent="0.25">
      <c r="B955" s="2021"/>
      <c r="C955" s="675"/>
      <c r="D955" s="675"/>
      <c r="E955" s="675"/>
      <c r="F955" s="675"/>
      <c r="G955" s="2019"/>
      <c r="H955" s="1476" t="s">
        <v>1798</v>
      </c>
      <c r="I955" s="1473" t="s">
        <v>79</v>
      </c>
      <c r="J955" s="1438"/>
      <c r="K955" s="173">
        <v>0</v>
      </c>
      <c r="L955" s="2057"/>
      <c r="M955" s="173">
        <v>0</v>
      </c>
      <c r="N955" s="2057"/>
      <c r="O955" s="173">
        <v>1</v>
      </c>
      <c r="P955" s="2057"/>
      <c r="Q955" s="173">
        <v>1</v>
      </c>
      <c r="R955" s="2057"/>
      <c r="S955" s="173">
        <v>1</v>
      </c>
      <c r="T955" s="2057"/>
      <c r="U955" s="1438">
        <v>1</v>
      </c>
      <c r="V955" s="2057"/>
      <c r="W955" s="1440"/>
      <c r="X955" s="2057"/>
      <c r="Y955" s="1593" t="s">
        <v>1800</v>
      </c>
    </row>
    <row r="956" spans="2:25" s="210" customFormat="1" x14ac:dyDescent="0.25">
      <c r="B956" s="2073" t="s">
        <v>1799</v>
      </c>
      <c r="C956" s="2074"/>
      <c r="D956" s="2074"/>
      <c r="E956" s="2074"/>
      <c r="F956" s="2074"/>
      <c r="G956" s="1495"/>
      <c r="H956" s="1438"/>
      <c r="I956" s="1441"/>
      <c r="J956" s="173"/>
      <c r="K956" s="173"/>
      <c r="L956" s="1439">
        <f>SUM(L876:L955)/2</f>
        <v>5643719</v>
      </c>
      <c r="M956" s="173"/>
      <c r="N956" s="1439">
        <f>SUM(N876:N955)/2</f>
        <v>6229797.9000000004</v>
      </c>
      <c r="O956" s="173"/>
      <c r="P956" s="1439">
        <f>SUM(P876:P955)/2</f>
        <v>7258550</v>
      </c>
      <c r="Q956" s="173"/>
      <c r="R956" s="1439">
        <f>SUM(R876:R955)/2</f>
        <v>7790975</v>
      </c>
      <c r="S956" s="173"/>
      <c r="T956" s="1439">
        <f>SUM(T876:T955)/2</f>
        <v>8376271</v>
      </c>
      <c r="U956" s="1438"/>
      <c r="V956" s="1439">
        <f>SUM(V876:V955)/2</f>
        <v>8956153.1000000015</v>
      </c>
      <c r="W956" s="1453"/>
      <c r="X956" s="1453"/>
      <c r="Y956" s="1454"/>
    </row>
    <row r="958" spans="2:25" s="949" customFormat="1" ht="13.5" thickBot="1" x14ac:dyDescent="0.3">
      <c r="B958" s="1896" t="s">
        <v>1153</v>
      </c>
      <c r="C958" s="1497"/>
      <c r="D958" s="1497"/>
      <c r="E958" s="1497"/>
      <c r="F958" s="1709"/>
      <c r="G958" s="1710"/>
      <c r="H958" s="1709"/>
      <c r="I958" s="1709"/>
      <c r="J958" s="1709"/>
      <c r="K958" s="1709"/>
      <c r="L958" s="1709"/>
      <c r="M958" s="1709"/>
      <c r="N958" s="1709"/>
      <c r="O958" s="1709"/>
      <c r="P958" s="1709"/>
      <c r="Q958" s="1709"/>
      <c r="R958" s="1709"/>
      <c r="S958" s="1709"/>
      <c r="T958" s="1709"/>
      <c r="U958" s="1709"/>
      <c r="V958" s="1709"/>
      <c r="W958" s="1709"/>
      <c r="X958" s="1709"/>
      <c r="Y958" s="1709"/>
    </row>
    <row r="959" spans="2:25" ht="13.5" thickTop="1" x14ac:dyDescent="0.25">
      <c r="B959" s="2045" t="s">
        <v>494</v>
      </c>
      <c r="C959" s="2040" t="s">
        <v>752</v>
      </c>
      <c r="D959" s="2040" t="s">
        <v>576</v>
      </c>
      <c r="E959" s="2040" t="s">
        <v>577</v>
      </c>
      <c r="F959" s="2040" t="s">
        <v>3127</v>
      </c>
      <c r="G959" s="2040" t="s">
        <v>3128</v>
      </c>
      <c r="H959" s="2040" t="s">
        <v>966</v>
      </c>
      <c r="I959" s="2040" t="s">
        <v>421</v>
      </c>
      <c r="J959" s="2055" t="s">
        <v>967</v>
      </c>
      <c r="K959" s="2053" t="s">
        <v>7</v>
      </c>
      <c r="L959" s="2054"/>
      <c r="M959" s="2054"/>
      <c r="N959" s="2054"/>
      <c r="O959" s="2054"/>
      <c r="P959" s="2054"/>
      <c r="Q959" s="2054"/>
      <c r="R959" s="2054"/>
      <c r="S959" s="2054"/>
      <c r="T959" s="2054"/>
      <c r="U959" s="2054"/>
      <c r="V959" s="2054"/>
      <c r="W959" s="2054"/>
      <c r="X959" s="2040" t="s">
        <v>653</v>
      </c>
      <c r="Y959" s="2049" t="s">
        <v>1147</v>
      </c>
    </row>
    <row r="960" spans="2:25" x14ac:dyDescent="0.25">
      <c r="B960" s="2046"/>
      <c r="C960" s="2041"/>
      <c r="D960" s="2041"/>
      <c r="E960" s="2041"/>
      <c r="F960" s="2041"/>
      <c r="G960" s="2041"/>
      <c r="H960" s="2041"/>
      <c r="I960" s="2041"/>
      <c r="J960" s="2052"/>
      <c r="K960" s="2051" t="s">
        <v>114</v>
      </c>
      <c r="L960" s="2038"/>
      <c r="M960" s="2051" t="s">
        <v>115</v>
      </c>
      <c r="N960" s="2038"/>
      <c r="O960" s="2051" t="s">
        <v>116</v>
      </c>
      <c r="P960" s="2038"/>
      <c r="Q960" s="2051" t="s">
        <v>117</v>
      </c>
      <c r="R960" s="2038"/>
      <c r="S960" s="2051" t="s">
        <v>118</v>
      </c>
      <c r="T960" s="2038"/>
      <c r="U960" s="2051" t="s">
        <v>119</v>
      </c>
      <c r="V960" s="2038"/>
      <c r="W960" s="2052" t="s">
        <v>968</v>
      </c>
      <c r="X960" s="2041"/>
      <c r="Y960" s="2050"/>
    </row>
    <row r="961" spans="2:25" x14ac:dyDescent="0.25">
      <c r="B961" s="2046"/>
      <c r="C961" s="2041"/>
      <c r="D961" s="2041"/>
      <c r="E961" s="2041"/>
      <c r="F961" s="2041"/>
      <c r="G961" s="2041"/>
      <c r="H961" s="2041"/>
      <c r="I961" s="2041"/>
      <c r="J961" s="2052"/>
      <c r="K961" s="1263" t="s">
        <v>9</v>
      </c>
      <c r="L961" s="1503" t="s">
        <v>3107</v>
      </c>
      <c r="M961" s="1263" t="s">
        <v>9</v>
      </c>
      <c r="N961" s="1503" t="s">
        <v>1355</v>
      </c>
      <c r="O961" s="1263" t="s">
        <v>9</v>
      </c>
      <c r="P961" s="1503" t="s">
        <v>1355</v>
      </c>
      <c r="Q961" s="1263" t="s">
        <v>9</v>
      </c>
      <c r="R961" s="1503" t="s">
        <v>1355</v>
      </c>
      <c r="S961" s="1263" t="s">
        <v>9</v>
      </c>
      <c r="T961" s="1503" t="s">
        <v>1355</v>
      </c>
      <c r="U961" s="1263" t="s">
        <v>9</v>
      </c>
      <c r="V961" s="1503" t="s">
        <v>1355</v>
      </c>
      <c r="W961" s="2052"/>
      <c r="X961" s="2041"/>
      <c r="Y961" s="2050"/>
    </row>
    <row r="962" spans="2:25" s="1239" customFormat="1" x14ac:dyDescent="0.25">
      <c r="B962" s="1504" t="s">
        <v>586</v>
      </c>
      <c r="C962" s="1448" t="s">
        <v>585</v>
      </c>
      <c r="D962" s="1448" t="s">
        <v>654</v>
      </c>
      <c r="E962" s="1448" t="s">
        <v>655</v>
      </c>
      <c r="F962" s="1505" t="s">
        <v>32</v>
      </c>
      <c r="G962" s="933">
        <v>6</v>
      </c>
      <c r="H962" s="1505">
        <v>7</v>
      </c>
      <c r="I962" s="1445" t="s">
        <v>3065</v>
      </c>
      <c r="J962" s="1269" t="s">
        <v>3066</v>
      </c>
      <c r="K962" s="1269" t="s">
        <v>3067</v>
      </c>
      <c r="L962" s="1506" t="s">
        <v>3068</v>
      </c>
      <c r="M962" s="1269" t="s">
        <v>3069</v>
      </c>
      <c r="N962" s="1506">
        <v>13</v>
      </c>
      <c r="O962" s="1269">
        <v>14</v>
      </c>
      <c r="P962" s="1506">
        <v>15</v>
      </c>
      <c r="Q962" s="1269">
        <v>16</v>
      </c>
      <c r="R962" s="1506">
        <v>17</v>
      </c>
      <c r="S962" s="1269">
        <v>18</v>
      </c>
      <c r="T962" s="1506">
        <v>19</v>
      </c>
      <c r="U962" s="1269">
        <v>20</v>
      </c>
      <c r="V962" s="1506">
        <v>21</v>
      </c>
      <c r="W962" s="1269">
        <v>22</v>
      </c>
      <c r="X962" s="1445">
        <v>23</v>
      </c>
      <c r="Y962" s="1507">
        <v>24</v>
      </c>
    </row>
    <row r="963" spans="2:25" ht="38.25" x14ac:dyDescent="0.25">
      <c r="B963" s="2011" t="s">
        <v>120</v>
      </c>
      <c r="C963" s="2042" t="s">
        <v>34</v>
      </c>
      <c r="D963" s="2042" t="s">
        <v>3831</v>
      </c>
      <c r="E963" s="2042" t="s">
        <v>3832</v>
      </c>
      <c r="F963" s="2042" t="s">
        <v>3913</v>
      </c>
      <c r="G963" s="173" t="s">
        <v>3133</v>
      </c>
      <c r="H963" s="1476" t="s">
        <v>587</v>
      </c>
      <c r="I963" s="1473" t="s">
        <v>19</v>
      </c>
      <c r="J963" s="1473">
        <v>90</v>
      </c>
      <c r="K963" s="1473">
        <v>91</v>
      </c>
      <c r="L963" s="1711"/>
      <c r="M963" s="1473">
        <v>92</v>
      </c>
      <c r="N963" s="1711"/>
      <c r="O963" s="1473">
        <v>93</v>
      </c>
      <c r="P963" s="1711"/>
      <c r="Q963" s="1473">
        <v>94</v>
      </c>
      <c r="R963" s="1711"/>
      <c r="S963" s="1473">
        <v>95</v>
      </c>
      <c r="T963" s="1711"/>
      <c r="U963" s="1473">
        <v>96</v>
      </c>
      <c r="V963" s="1711"/>
      <c r="W963" s="1473">
        <v>95</v>
      </c>
      <c r="X963" s="1473"/>
      <c r="Y963" s="1474" t="s">
        <v>1153</v>
      </c>
    </row>
    <row r="964" spans="2:25" ht="63.75" x14ac:dyDescent="0.25">
      <c r="B964" s="2012"/>
      <c r="C964" s="2043"/>
      <c r="D964" s="2043"/>
      <c r="E964" s="2043"/>
      <c r="F964" s="2043"/>
      <c r="G964" s="1476" t="s">
        <v>588</v>
      </c>
      <c r="H964" s="1476" t="s">
        <v>386</v>
      </c>
      <c r="I964" s="1473" t="s">
        <v>19</v>
      </c>
      <c r="J964" s="1473">
        <v>100</v>
      </c>
      <c r="K964" s="1480">
        <v>20</v>
      </c>
      <c r="L964" s="1480">
        <f>SUM(L965:L978)</f>
        <v>1673908</v>
      </c>
      <c r="M964" s="1480">
        <v>20</v>
      </c>
      <c r="N964" s="1480">
        <f>SUM(N965:N978)</f>
        <v>2163908</v>
      </c>
      <c r="O964" s="1480">
        <v>15</v>
      </c>
      <c r="P964" s="1480">
        <f>SUM(P965:P978)</f>
        <v>2277608</v>
      </c>
      <c r="Q964" s="1480">
        <v>15</v>
      </c>
      <c r="R964" s="1480">
        <f>SUM(R965:R978)</f>
        <v>2362808</v>
      </c>
      <c r="S964" s="1480">
        <v>15</v>
      </c>
      <c r="T964" s="1480">
        <f>SUM(T965:T978)</f>
        <v>2362808</v>
      </c>
      <c r="U964" s="1480">
        <v>15</v>
      </c>
      <c r="V964" s="1480">
        <f>SUM(V965:V978)</f>
        <v>2362808</v>
      </c>
      <c r="W964" s="1480">
        <v>100</v>
      </c>
      <c r="X964" s="1473"/>
      <c r="Y964" s="1474" t="s">
        <v>1153</v>
      </c>
    </row>
    <row r="965" spans="2:25" ht="25.5" x14ac:dyDescent="0.25">
      <c r="B965" s="2012"/>
      <c r="C965" s="674"/>
      <c r="D965" s="674"/>
      <c r="E965" s="674"/>
      <c r="F965" s="674"/>
      <c r="G965" s="1476" t="s">
        <v>589</v>
      </c>
      <c r="H965" s="1476" t="s">
        <v>590</v>
      </c>
      <c r="I965" s="1473" t="s">
        <v>40</v>
      </c>
      <c r="J965" s="1476"/>
      <c r="K965" s="1480">
        <v>12</v>
      </c>
      <c r="L965" s="1480">
        <v>4000</v>
      </c>
      <c r="M965" s="1480">
        <v>12</v>
      </c>
      <c r="N965" s="1480">
        <v>4000</v>
      </c>
      <c r="O965" s="1480">
        <v>12</v>
      </c>
      <c r="P965" s="1480">
        <v>4000</v>
      </c>
      <c r="Q965" s="1480">
        <v>12</v>
      </c>
      <c r="R965" s="1480">
        <v>4200</v>
      </c>
      <c r="S965" s="1480">
        <v>12</v>
      </c>
      <c r="T965" s="1480">
        <v>4200</v>
      </c>
      <c r="U965" s="1480">
        <v>12</v>
      </c>
      <c r="V965" s="1480">
        <v>4200</v>
      </c>
      <c r="W965" s="1480">
        <v>60</v>
      </c>
      <c r="X965" s="1473"/>
      <c r="Y965" s="1474" t="s">
        <v>1153</v>
      </c>
    </row>
    <row r="966" spans="2:25" ht="63.75" x14ac:dyDescent="0.25">
      <c r="B966" s="2012"/>
      <c r="C966" s="674"/>
      <c r="D966" s="674"/>
      <c r="E966" s="674"/>
      <c r="F966" s="674"/>
      <c r="G966" s="1476" t="s">
        <v>591</v>
      </c>
      <c r="H966" s="1476" t="s">
        <v>592</v>
      </c>
      <c r="I966" s="1473" t="s">
        <v>40</v>
      </c>
      <c r="J966" s="1476"/>
      <c r="K966" s="1480">
        <v>12</v>
      </c>
      <c r="L966" s="1480">
        <v>167900</v>
      </c>
      <c r="M966" s="1480">
        <v>12</v>
      </c>
      <c r="N966" s="1480">
        <v>413600</v>
      </c>
      <c r="O966" s="1480">
        <v>12</v>
      </c>
      <c r="P966" s="1480">
        <v>413600</v>
      </c>
      <c r="Q966" s="1480">
        <v>12</v>
      </c>
      <c r="R966" s="1480">
        <v>433600</v>
      </c>
      <c r="S966" s="1480">
        <v>12</v>
      </c>
      <c r="T966" s="1480">
        <v>433600</v>
      </c>
      <c r="U966" s="1480">
        <v>12</v>
      </c>
      <c r="V966" s="1480">
        <v>433600</v>
      </c>
      <c r="W966" s="1480">
        <v>60</v>
      </c>
      <c r="X966" s="1473"/>
      <c r="Y966" s="1474" t="s">
        <v>1153</v>
      </c>
    </row>
    <row r="967" spans="2:25" ht="63.75" x14ac:dyDescent="0.25">
      <c r="B967" s="2012"/>
      <c r="C967" s="674"/>
      <c r="D967" s="674"/>
      <c r="E967" s="674"/>
      <c r="F967" s="674"/>
      <c r="G967" s="1476" t="s">
        <v>593</v>
      </c>
      <c r="H967" s="1476" t="s">
        <v>594</v>
      </c>
      <c r="I967" s="1473" t="s">
        <v>40</v>
      </c>
      <c r="J967" s="1476"/>
      <c r="K967" s="1480">
        <v>12</v>
      </c>
      <c r="L967" s="1480">
        <v>300000</v>
      </c>
      <c r="M967" s="1480">
        <v>12</v>
      </c>
      <c r="N967" s="1480">
        <v>600000</v>
      </c>
      <c r="O967" s="1480">
        <v>12</v>
      </c>
      <c r="P967" s="1480">
        <v>600000</v>
      </c>
      <c r="Q967" s="1480">
        <v>12</v>
      </c>
      <c r="R967" s="1480">
        <v>630000</v>
      </c>
      <c r="S967" s="1480">
        <v>12</v>
      </c>
      <c r="T967" s="1480">
        <v>630000</v>
      </c>
      <c r="U967" s="1480">
        <v>12</v>
      </c>
      <c r="V967" s="1480">
        <v>630000</v>
      </c>
      <c r="W967" s="1480">
        <v>60</v>
      </c>
      <c r="X967" s="1473"/>
      <c r="Y967" s="1474" t="s">
        <v>1153</v>
      </c>
    </row>
    <row r="968" spans="2:25" ht="51" x14ac:dyDescent="0.25">
      <c r="B968" s="2012"/>
      <c r="C968" s="674"/>
      <c r="D968" s="674"/>
      <c r="E968" s="674"/>
      <c r="F968" s="674"/>
      <c r="G968" s="1476" t="s">
        <v>45</v>
      </c>
      <c r="H968" s="1476" t="s">
        <v>595</v>
      </c>
      <c r="I968" s="1473" t="s">
        <v>40</v>
      </c>
      <c r="J968" s="1476"/>
      <c r="K968" s="1480">
        <v>12</v>
      </c>
      <c r="L968" s="1480">
        <v>90000</v>
      </c>
      <c r="M968" s="1480">
        <v>12</v>
      </c>
      <c r="N968" s="1480">
        <v>90000</v>
      </c>
      <c r="O968" s="1480">
        <v>12</v>
      </c>
      <c r="P968" s="1480">
        <v>90000</v>
      </c>
      <c r="Q968" s="1480">
        <v>12</v>
      </c>
      <c r="R968" s="1480">
        <v>93000</v>
      </c>
      <c r="S968" s="1480">
        <v>12</v>
      </c>
      <c r="T968" s="1480">
        <v>93000</v>
      </c>
      <c r="U968" s="1480">
        <v>12</v>
      </c>
      <c r="V968" s="1480">
        <v>93000</v>
      </c>
      <c r="W968" s="1480">
        <v>60</v>
      </c>
      <c r="X968" s="1712"/>
      <c r="Y968" s="1474" t="s">
        <v>1153</v>
      </c>
    </row>
    <row r="969" spans="2:25" ht="51" x14ac:dyDescent="0.25">
      <c r="B969" s="2012"/>
      <c r="C969" s="674"/>
      <c r="D969" s="674"/>
      <c r="E969" s="674"/>
      <c r="F969" s="674"/>
      <c r="G969" s="1476" t="s">
        <v>47</v>
      </c>
      <c r="H969" s="1476" t="s">
        <v>596</v>
      </c>
      <c r="I969" s="1473" t="s">
        <v>40</v>
      </c>
      <c r="J969" s="1476"/>
      <c r="K969" s="1480">
        <v>12</v>
      </c>
      <c r="L969" s="1480">
        <v>150000</v>
      </c>
      <c r="M969" s="1480">
        <v>12</v>
      </c>
      <c r="N969" s="1480">
        <v>190000</v>
      </c>
      <c r="O969" s="1480">
        <v>12</v>
      </c>
      <c r="P969" s="1480">
        <v>250000</v>
      </c>
      <c r="Q969" s="1480">
        <v>12</v>
      </c>
      <c r="R969" s="1480">
        <v>250000</v>
      </c>
      <c r="S969" s="1480">
        <v>12</v>
      </c>
      <c r="T969" s="1480">
        <v>250000</v>
      </c>
      <c r="U969" s="1480">
        <v>12</v>
      </c>
      <c r="V969" s="1480">
        <v>250000</v>
      </c>
      <c r="W969" s="1480">
        <v>60</v>
      </c>
      <c r="X969" s="1473"/>
      <c r="Y969" s="1474" t="s">
        <v>1153</v>
      </c>
    </row>
    <row r="970" spans="2:25" ht="25.5" x14ac:dyDescent="0.25">
      <c r="B970" s="2012"/>
      <c r="C970" s="674"/>
      <c r="D970" s="674"/>
      <c r="E970" s="674"/>
      <c r="F970" s="674"/>
      <c r="G970" s="1476" t="s">
        <v>597</v>
      </c>
      <c r="H970" s="1476" t="s">
        <v>598</v>
      </c>
      <c r="I970" s="1473" t="s">
        <v>40</v>
      </c>
      <c r="J970" s="1476"/>
      <c r="K970" s="1480">
        <v>12</v>
      </c>
      <c r="L970" s="1480">
        <v>55000</v>
      </c>
      <c r="M970" s="1480">
        <v>12</v>
      </c>
      <c r="N970" s="1480">
        <v>55000</v>
      </c>
      <c r="O970" s="1480">
        <v>12</v>
      </c>
      <c r="P970" s="1480">
        <v>60000</v>
      </c>
      <c r="Q970" s="1480">
        <v>12</v>
      </c>
      <c r="R970" s="1480">
        <v>65000</v>
      </c>
      <c r="S970" s="1480">
        <v>12</v>
      </c>
      <c r="T970" s="1480">
        <v>65000</v>
      </c>
      <c r="U970" s="1480">
        <v>12</v>
      </c>
      <c r="V970" s="1480">
        <v>65000</v>
      </c>
      <c r="W970" s="1480">
        <v>60</v>
      </c>
      <c r="X970" s="1473"/>
      <c r="Y970" s="1474" t="s">
        <v>1153</v>
      </c>
    </row>
    <row r="971" spans="2:25" ht="38.25" x14ac:dyDescent="0.25">
      <c r="B971" s="2012"/>
      <c r="C971" s="674"/>
      <c r="D971" s="674"/>
      <c r="E971" s="674"/>
      <c r="F971" s="674"/>
      <c r="G971" s="1476" t="s">
        <v>50</v>
      </c>
      <c r="H971" s="1476" t="s">
        <v>580</v>
      </c>
      <c r="I971" s="1473" t="s">
        <v>40</v>
      </c>
      <c r="J971" s="1476"/>
      <c r="K971" s="1480">
        <v>12</v>
      </c>
      <c r="L971" s="1480">
        <v>38000</v>
      </c>
      <c r="M971" s="1480">
        <v>12</v>
      </c>
      <c r="N971" s="1480">
        <v>38000</v>
      </c>
      <c r="O971" s="1480">
        <v>12</v>
      </c>
      <c r="P971" s="1480">
        <v>38000</v>
      </c>
      <c r="Q971" s="1480">
        <v>12</v>
      </c>
      <c r="R971" s="1480">
        <v>40000</v>
      </c>
      <c r="S971" s="1480">
        <v>12</v>
      </c>
      <c r="T971" s="1480">
        <v>40000</v>
      </c>
      <c r="U971" s="1480">
        <v>12</v>
      </c>
      <c r="V971" s="1480">
        <v>40000</v>
      </c>
      <c r="W971" s="1480">
        <v>60</v>
      </c>
      <c r="X971" s="1473"/>
      <c r="Y971" s="1474" t="s">
        <v>1153</v>
      </c>
    </row>
    <row r="972" spans="2:25" ht="63.75" x14ac:dyDescent="0.25">
      <c r="B972" s="2012"/>
      <c r="C972" s="674"/>
      <c r="D972" s="674"/>
      <c r="E972" s="674"/>
      <c r="F972" s="674"/>
      <c r="G972" s="1476" t="s">
        <v>599</v>
      </c>
      <c r="H972" s="1476" t="s">
        <v>600</v>
      </c>
      <c r="I972" s="1473" t="s">
        <v>40</v>
      </c>
      <c r="J972" s="1476"/>
      <c r="K972" s="1480">
        <v>12</v>
      </c>
      <c r="L972" s="1480">
        <v>145000</v>
      </c>
      <c r="M972" s="1480">
        <v>12</v>
      </c>
      <c r="N972" s="1480">
        <v>124300</v>
      </c>
      <c r="O972" s="1480">
        <v>12</v>
      </c>
      <c r="P972" s="1480">
        <v>145000</v>
      </c>
      <c r="Q972" s="1480">
        <v>12</v>
      </c>
      <c r="R972" s="1480">
        <v>145000</v>
      </c>
      <c r="S972" s="1480">
        <v>12</v>
      </c>
      <c r="T972" s="1480">
        <v>145000</v>
      </c>
      <c r="U972" s="1480">
        <v>12</v>
      </c>
      <c r="V972" s="1480">
        <v>145000</v>
      </c>
      <c r="W972" s="1480">
        <v>60</v>
      </c>
      <c r="X972" s="1473"/>
      <c r="Y972" s="1474" t="s">
        <v>1153</v>
      </c>
    </row>
    <row r="973" spans="2:25" ht="76.5" x14ac:dyDescent="0.25">
      <c r="B973" s="2012"/>
      <c r="C973" s="674"/>
      <c r="D973" s="674"/>
      <c r="E973" s="674"/>
      <c r="F973" s="674"/>
      <c r="G973" s="1476" t="s">
        <v>601</v>
      </c>
      <c r="H973" s="1476" t="s">
        <v>602</v>
      </c>
      <c r="I973" s="1473" t="s">
        <v>40</v>
      </c>
      <c r="J973" s="1476"/>
      <c r="K973" s="1480">
        <v>12</v>
      </c>
      <c r="L973" s="1480">
        <v>32408</v>
      </c>
      <c r="M973" s="1480">
        <v>12</v>
      </c>
      <c r="N973" s="1480">
        <v>32408</v>
      </c>
      <c r="O973" s="1480">
        <v>12</v>
      </c>
      <c r="P973" s="1480">
        <v>32408</v>
      </c>
      <c r="Q973" s="1480">
        <v>12</v>
      </c>
      <c r="R973" s="1480">
        <v>32408</v>
      </c>
      <c r="S973" s="1480">
        <v>12</v>
      </c>
      <c r="T973" s="1480">
        <v>32408</v>
      </c>
      <c r="U973" s="1480">
        <v>12</v>
      </c>
      <c r="V973" s="1480">
        <v>32408</v>
      </c>
      <c r="W973" s="1480">
        <v>60</v>
      </c>
      <c r="X973" s="1473"/>
      <c r="Y973" s="1474" t="s">
        <v>1153</v>
      </c>
    </row>
    <row r="974" spans="2:25" ht="76.5" x14ac:dyDescent="0.25">
      <c r="B974" s="2012"/>
      <c r="C974" s="674"/>
      <c r="D974" s="674"/>
      <c r="E974" s="674"/>
      <c r="F974" s="674"/>
      <c r="G974" s="1476" t="s">
        <v>56</v>
      </c>
      <c r="H974" s="1476" t="s">
        <v>603</v>
      </c>
      <c r="I974" s="1473" t="s">
        <v>40</v>
      </c>
      <c r="J974" s="1476"/>
      <c r="K974" s="1480">
        <v>12</v>
      </c>
      <c r="L974" s="1480">
        <v>30000</v>
      </c>
      <c r="M974" s="1480">
        <v>12</v>
      </c>
      <c r="N974" s="1480">
        <v>30000</v>
      </c>
      <c r="O974" s="1480">
        <v>12</v>
      </c>
      <c r="P974" s="1480">
        <v>30000</v>
      </c>
      <c r="Q974" s="1480">
        <v>12</v>
      </c>
      <c r="R974" s="1480">
        <v>30000</v>
      </c>
      <c r="S974" s="1480">
        <v>12</v>
      </c>
      <c r="T974" s="1480">
        <v>30000</v>
      </c>
      <c r="U974" s="1480">
        <v>12</v>
      </c>
      <c r="V974" s="1480">
        <v>30000</v>
      </c>
      <c r="W974" s="1480">
        <v>60</v>
      </c>
      <c r="X974" s="1473"/>
      <c r="Y974" s="1474" t="s">
        <v>1153</v>
      </c>
    </row>
    <row r="975" spans="2:25" ht="51" x14ac:dyDescent="0.25">
      <c r="B975" s="2012"/>
      <c r="C975" s="674"/>
      <c r="D975" s="674"/>
      <c r="E975" s="674"/>
      <c r="F975" s="674"/>
      <c r="G975" s="1476" t="s">
        <v>604</v>
      </c>
      <c r="H975" s="1476" t="s">
        <v>605</v>
      </c>
      <c r="I975" s="1473" t="s">
        <v>40</v>
      </c>
      <c r="J975" s="1476"/>
      <c r="K975" s="1480">
        <v>12</v>
      </c>
      <c r="L975" s="1480">
        <v>347000</v>
      </c>
      <c r="M975" s="1480">
        <v>12</v>
      </c>
      <c r="N975" s="1480">
        <v>347000</v>
      </c>
      <c r="O975" s="1480">
        <v>12</v>
      </c>
      <c r="P975" s="1480">
        <v>350000</v>
      </c>
      <c r="Q975" s="1480">
        <v>12</v>
      </c>
      <c r="R975" s="1480">
        <v>375000</v>
      </c>
      <c r="S975" s="1480">
        <v>12</v>
      </c>
      <c r="T975" s="1480">
        <v>375000</v>
      </c>
      <c r="U975" s="1480">
        <v>12</v>
      </c>
      <c r="V975" s="1480">
        <v>375000</v>
      </c>
      <c r="W975" s="1480">
        <v>60</v>
      </c>
      <c r="X975" s="1473"/>
      <c r="Y975" s="1474" t="s">
        <v>1153</v>
      </c>
    </row>
    <row r="976" spans="2:25" ht="63.75" x14ac:dyDescent="0.25">
      <c r="B976" s="2012"/>
      <c r="C976" s="674"/>
      <c r="D976" s="674"/>
      <c r="E976" s="674"/>
      <c r="F976" s="674"/>
      <c r="G976" s="1476" t="s">
        <v>606</v>
      </c>
      <c r="H976" s="1476" t="s">
        <v>607</v>
      </c>
      <c r="I976" s="1473" t="s">
        <v>40</v>
      </c>
      <c r="J976" s="1476"/>
      <c r="K976" s="1480">
        <v>12</v>
      </c>
      <c r="L976" s="1480">
        <v>250000</v>
      </c>
      <c r="M976" s="1480">
        <v>12</v>
      </c>
      <c r="N976" s="1480">
        <v>175000</v>
      </c>
      <c r="O976" s="1480">
        <v>12</v>
      </c>
      <c r="P976" s="1480">
        <v>200000</v>
      </c>
      <c r="Q976" s="1480">
        <v>12</v>
      </c>
      <c r="R976" s="1480">
        <v>200000</v>
      </c>
      <c r="S976" s="1480">
        <v>12</v>
      </c>
      <c r="T976" s="1480">
        <v>200000</v>
      </c>
      <c r="U976" s="1480">
        <v>12</v>
      </c>
      <c r="V976" s="1480">
        <v>200000</v>
      </c>
      <c r="W976" s="1480">
        <v>60</v>
      </c>
      <c r="X976" s="1473"/>
      <c r="Y976" s="1474" t="s">
        <v>1153</v>
      </c>
    </row>
    <row r="977" spans="2:25" ht="25.5" x14ac:dyDescent="0.25">
      <c r="B977" s="2012"/>
      <c r="C977" s="674"/>
      <c r="D977" s="674"/>
      <c r="E977" s="674"/>
      <c r="F977" s="674"/>
      <c r="G977" s="1476" t="s">
        <v>608</v>
      </c>
      <c r="H977" s="1476" t="s">
        <v>3157</v>
      </c>
      <c r="I977" s="1473" t="s">
        <v>40</v>
      </c>
      <c r="J977" s="1476"/>
      <c r="K977" s="1480">
        <v>12</v>
      </c>
      <c r="L977" s="1480">
        <v>39600</v>
      </c>
      <c r="M977" s="1480">
        <v>12</v>
      </c>
      <c r="N977" s="1480">
        <v>39600</v>
      </c>
      <c r="O977" s="1480">
        <v>12</v>
      </c>
      <c r="P977" s="1480">
        <v>39600</v>
      </c>
      <c r="Q977" s="1480">
        <v>12</v>
      </c>
      <c r="R977" s="1480">
        <v>39600</v>
      </c>
      <c r="S977" s="1480">
        <v>12</v>
      </c>
      <c r="T977" s="1480">
        <v>39600</v>
      </c>
      <c r="U977" s="1480">
        <v>12</v>
      </c>
      <c r="V977" s="1480">
        <v>39600</v>
      </c>
      <c r="W977" s="1480">
        <v>60</v>
      </c>
      <c r="X977" s="1473"/>
      <c r="Y977" s="1474" t="s">
        <v>1153</v>
      </c>
    </row>
    <row r="978" spans="2:25" ht="63.75" x14ac:dyDescent="0.25">
      <c r="B978" s="2012"/>
      <c r="C978" s="674"/>
      <c r="D978" s="674"/>
      <c r="E978" s="674"/>
      <c r="F978" s="674"/>
      <c r="G978" s="1476" t="s">
        <v>399</v>
      </c>
      <c r="H978" s="1476" t="s">
        <v>609</v>
      </c>
      <c r="I978" s="1473" t="s">
        <v>40</v>
      </c>
      <c r="J978" s="1476"/>
      <c r="K978" s="1480">
        <v>12</v>
      </c>
      <c r="L978" s="1480">
        <v>25000</v>
      </c>
      <c r="M978" s="1480">
        <v>12</v>
      </c>
      <c r="N978" s="1480">
        <v>25000</v>
      </c>
      <c r="O978" s="1480">
        <v>12</v>
      </c>
      <c r="P978" s="1480">
        <v>25000</v>
      </c>
      <c r="Q978" s="1480">
        <v>12</v>
      </c>
      <c r="R978" s="1480">
        <v>25000</v>
      </c>
      <c r="S978" s="1480">
        <v>12</v>
      </c>
      <c r="T978" s="1480">
        <v>25000</v>
      </c>
      <c r="U978" s="1480">
        <v>12</v>
      </c>
      <c r="V978" s="1480">
        <v>25000</v>
      </c>
      <c r="W978" s="1480">
        <v>60</v>
      </c>
      <c r="X978" s="1473"/>
      <c r="Y978" s="1474" t="s">
        <v>1153</v>
      </c>
    </row>
    <row r="979" spans="2:25" ht="51" x14ac:dyDescent="0.25">
      <c r="B979" s="2012"/>
      <c r="C979" s="674"/>
      <c r="D979" s="674"/>
      <c r="E979" s="674"/>
      <c r="F979" s="674"/>
      <c r="G979" s="1476" t="s">
        <v>617</v>
      </c>
      <c r="H979" s="1476" t="s">
        <v>618</v>
      </c>
      <c r="I979" s="1473" t="s">
        <v>19</v>
      </c>
      <c r="J979" s="1473">
        <v>100</v>
      </c>
      <c r="K979" s="1480">
        <v>20</v>
      </c>
      <c r="L979" s="1480">
        <f>SUM(L980:L986)</f>
        <v>2908416</v>
      </c>
      <c r="M979" s="1480">
        <v>20</v>
      </c>
      <c r="N979" s="1480">
        <f>SUM(N980:N986)</f>
        <v>5967708.2300000004</v>
      </c>
      <c r="O979" s="1480">
        <v>15</v>
      </c>
      <c r="P979" s="1480">
        <f>SUM(P980:P986)</f>
        <v>5773000</v>
      </c>
      <c r="Q979" s="1480">
        <v>15</v>
      </c>
      <c r="R979" s="1480">
        <f>SUM(R980:R986)</f>
        <v>3962000</v>
      </c>
      <c r="S979" s="1480">
        <v>15</v>
      </c>
      <c r="T979" s="1480">
        <f>SUM(T980:T986)</f>
        <v>800000</v>
      </c>
      <c r="U979" s="1480">
        <v>15</v>
      </c>
      <c r="V979" s="1480">
        <f>SUM(V980:V986)</f>
        <v>800000</v>
      </c>
      <c r="W979" s="1480">
        <v>100</v>
      </c>
      <c r="X979" s="1473"/>
      <c r="Y979" s="1474" t="s">
        <v>1153</v>
      </c>
    </row>
    <row r="980" spans="2:25" ht="25.5" x14ac:dyDescent="0.25">
      <c r="B980" s="2012"/>
      <c r="C980" s="674"/>
      <c r="D980" s="674"/>
      <c r="E980" s="674"/>
      <c r="F980" s="674"/>
      <c r="G980" s="1476" t="s">
        <v>158</v>
      </c>
      <c r="H980" s="1476" t="s">
        <v>158</v>
      </c>
      <c r="I980" s="1473" t="s">
        <v>69</v>
      </c>
      <c r="J980" s="1473"/>
      <c r="K980" s="1480">
        <v>1</v>
      </c>
      <c r="L980" s="1480">
        <v>2008000</v>
      </c>
      <c r="M980" s="1480">
        <v>1</v>
      </c>
      <c r="N980" s="1480">
        <v>5000000</v>
      </c>
      <c r="O980" s="1480">
        <v>1</v>
      </c>
      <c r="P980" s="1480">
        <v>1836000</v>
      </c>
      <c r="Q980" s="1480">
        <v>0</v>
      </c>
      <c r="R980" s="1480">
        <v>0</v>
      </c>
      <c r="S980" s="1480">
        <v>0</v>
      </c>
      <c r="T980" s="1480">
        <v>0</v>
      </c>
      <c r="U980" s="1480">
        <v>0</v>
      </c>
      <c r="V980" s="1480">
        <v>0</v>
      </c>
      <c r="W980" s="1480"/>
      <c r="X980" s="1473"/>
      <c r="Y980" s="1474" t="s">
        <v>1153</v>
      </c>
    </row>
    <row r="981" spans="2:25" ht="51" x14ac:dyDescent="0.25">
      <c r="B981" s="2012"/>
      <c r="C981" s="674"/>
      <c r="D981" s="674"/>
      <c r="E981" s="674"/>
      <c r="F981" s="674"/>
      <c r="G981" s="1476" t="s">
        <v>472</v>
      </c>
      <c r="H981" s="1476" t="s">
        <v>472</v>
      </c>
      <c r="I981" s="1473" t="s">
        <v>75</v>
      </c>
      <c r="J981" s="1473"/>
      <c r="K981" s="1480"/>
      <c r="L981" s="1480">
        <v>0</v>
      </c>
      <c r="M981" s="1480"/>
      <c r="N981" s="1480">
        <v>310000.23</v>
      </c>
      <c r="O981" s="1480"/>
      <c r="P981" s="1480">
        <v>3000000</v>
      </c>
      <c r="Q981" s="1480"/>
      <c r="R981" s="1480">
        <v>3000000</v>
      </c>
      <c r="S981" s="1480"/>
      <c r="T981" s="1480">
        <v>0</v>
      </c>
      <c r="U981" s="1480"/>
      <c r="V981" s="1480">
        <v>0</v>
      </c>
      <c r="W981" s="1480"/>
      <c r="X981" s="1473"/>
      <c r="Y981" s="1474" t="s">
        <v>1153</v>
      </c>
    </row>
    <row r="982" spans="2:25" ht="229.5" x14ac:dyDescent="0.25">
      <c r="B982" s="2012"/>
      <c r="C982" s="674"/>
      <c r="D982" s="674"/>
      <c r="E982" s="674"/>
      <c r="F982" s="674"/>
      <c r="G982" s="1476" t="s">
        <v>475</v>
      </c>
      <c r="H982" s="1476" t="s">
        <v>619</v>
      </c>
      <c r="I982" s="1473" t="s">
        <v>69</v>
      </c>
      <c r="J982" s="1473"/>
      <c r="K982" s="1480">
        <v>1</v>
      </c>
      <c r="L982" s="1480">
        <v>326000</v>
      </c>
      <c r="M982" s="1480">
        <v>1</v>
      </c>
      <c r="N982" s="1480">
        <v>336000</v>
      </c>
      <c r="O982" s="1480">
        <v>1</v>
      </c>
      <c r="P982" s="1480">
        <v>600000</v>
      </c>
      <c r="Q982" s="1480">
        <v>1</v>
      </c>
      <c r="R982" s="1480">
        <v>600000</v>
      </c>
      <c r="S982" s="1480">
        <v>1</v>
      </c>
      <c r="T982" s="1480">
        <v>600000</v>
      </c>
      <c r="U982" s="1480">
        <v>1</v>
      </c>
      <c r="V982" s="1480">
        <v>600000</v>
      </c>
      <c r="W982" s="1480"/>
      <c r="X982" s="1473"/>
      <c r="Y982" s="1474" t="s">
        <v>1153</v>
      </c>
    </row>
    <row r="983" spans="2:25" ht="25.5" x14ac:dyDescent="0.25">
      <c r="B983" s="2012"/>
      <c r="C983" s="674"/>
      <c r="D983" s="674"/>
      <c r="E983" s="674"/>
      <c r="F983" s="674"/>
      <c r="G983" s="1476" t="s">
        <v>620</v>
      </c>
      <c r="H983" s="1476" t="s">
        <v>3159</v>
      </c>
      <c r="I983" s="1473" t="s">
        <v>40</v>
      </c>
      <c r="J983" s="1473"/>
      <c r="K983" s="1480">
        <v>12</v>
      </c>
      <c r="L983" s="1480">
        <v>50000</v>
      </c>
      <c r="M983" s="1480">
        <v>12</v>
      </c>
      <c r="N983" s="1480">
        <v>50000</v>
      </c>
      <c r="O983" s="1480">
        <v>12</v>
      </c>
      <c r="P983" s="1480">
        <v>50000</v>
      </c>
      <c r="Q983" s="1480">
        <v>12</v>
      </c>
      <c r="R983" s="1480">
        <v>50000</v>
      </c>
      <c r="S983" s="1480">
        <v>12</v>
      </c>
      <c r="T983" s="1480">
        <v>50000</v>
      </c>
      <c r="U983" s="1480">
        <v>12</v>
      </c>
      <c r="V983" s="1480">
        <v>50000</v>
      </c>
      <c r="W983" s="1480"/>
      <c r="X983" s="1473"/>
      <c r="Y983" s="1474" t="s">
        <v>1153</v>
      </c>
    </row>
    <row r="984" spans="2:25" ht="25.5" x14ac:dyDescent="0.25">
      <c r="B984" s="2012"/>
      <c r="C984" s="674"/>
      <c r="D984" s="674"/>
      <c r="E984" s="674"/>
      <c r="F984" s="674"/>
      <c r="G984" s="1476" t="s">
        <v>621</v>
      </c>
      <c r="H984" s="1476" t="s">
        <v>3160</v>
      </c>
      <c r="I984" s="1473" t="s">
        <v>40</v>
      </c>
      <c r="J984" s="1473"/>
      <c r="K984" s="1480">
        <v>12</v>
      </c>
      <c r="L984" s="1480">
        <v>79416</v>
      </c>
      <c r="M984" s="1480">
        <v>12</v>
      </c>
      <c r="N984" s="1480">
        <v>94708</v>
      </c>
      <c r="O984" s="1480">
        <v>12</v>
      </c>
      <c r="P984" s="1480">
        <v>100000</v>
      </c>
      <c r="Q984" s="1480">
        <v>12</v>
      </c>
      <c r="R984" s="1480">
        <v>100000</v>
      </c>
      <c r="S984" s="1480">
        <v>12</v>
      </c>
      <c r="T984" s="1480">
        <v>100000</v>
      </c>
      <c r="U984" s="1480">
        <v>12</v>
      </c>
      <c r="V984" s="1480">
        <v>100000</v>
      </c>
      <c r="W984" s="1480"/>
      <c r="X984" s="1473"/>
      <c r="Y984" s="1474" t="s">
        <v>1153</v>
      </c>
    </row>
    <row r="985" spans="2:25" ht="25.5" x14ac:dyDescent="0.25">
      <c r="B985" s="2012"/>
      <c r="C985" s="674"/>
      <c r="D985" s="674"/>
      <c r="E985" s="674"/>
      <c r="F985" s="674"/>
      <c r="G985" s="1476" t="s">
        <v>622</v>
      </c>
      <c r="H985" s="1476" t="s">
        <v>3161</v>
      </c>
      <c r="I985" s="1473" t="s">
        <v>40</v>
      </c>
      <c r="J985" s="1473"/>
      <c r="K985" s="1480">
        <v>12</v>
      </c>
      <c r="L985" s="1480">
        <v>25000</v>
      </c>
      <c r="M985" s="1480">
        <v>12</v>
      </c>
      <c r="N985" s="1480">
        <v>15000</v>
      </c>
      <c r="O985" s="1480">
        <v>12</v>
      </c>
      <c r="P985" s="1480">
        <v>25000</v>
      </c>
      <c r="Q985" s="1480">
        <v>12</v>
      </c>
      <c r="R985" s="1480">
        <v>50000</v>
      </c>
      <c r="S985" s="1480">
        <v>12</v>
      </c>
      <c r="T985" s="1480">
        <v>50000</v>
      </c>
      <c r="U985" s="1480">
        <v>12</v>
      </c>
      <c r="V985" s="1480">
        <v>50000</v>
      </c>
      <c r="W985" s="1480"/>
      <c r="X985" s="1473"/>
      <c r="Y985" s="1474" t="s">
        <v>1153</v>
      </c>
    </row>
    <row r="986" spans="2:25" ht="51" x14ac:dyDescent="0.25">
      <c r="B986" s="2012"/>
      <c r="C986" s="674"/>
      <c r="D986" s="674"/>
      <c r="E986" s="674"/>
      <c r="F986" s="674"/>
      <c r="G986" s="1476" t="s">
        <v>485</v>
      </c>
      <c r="H986" s="1476" t="s">
        <v>611</v>
      </c>
      <c r="I986" s="1473" t="s">
        <v>322</v>
      </c>
      <c r="J986" s="1473"/>
      <c r="K986" s="1480">
        <v>50</v>
      </c>
      <c r="L986" s="1480">
        <v>420000</v>
      </c>
      <c r="M986" s="1480">
        <v>50</v>
      </c>
      <c r="N986" s="1480">
        <v>162000</v>
      </c>
      <c r="O986" s="1480">
        <v>50</v>
      </c>
      <c r="P986" s="1480">
        <v>162000</v>
      </c>
      <c r="Q986" s="1480">
        <v>50</v>
      </c>
      <c r="R986" s="1480">
        <v>162000</v>
      </c>
      <c r="S986" s="1480">
        <v>50</v>
      </c>
      <c r="T986" s="1480">
        <v>0</v>
      </c>
      <c r="U986" s="1480">
        <v>50</v>
      </c>
      <c r="V986" s="1480">
        <v>0</v>
      </c>
      <c r="W986" s="1480">
        <v>250</v>
      </c>
      <c r="X986" s="1473"/>
      <c r="Y986" s="1474" t="s">
        <v>1153</v>
      </c>
    </row>
    <row r="987" spans="2:25" ht="63.75" x14ac:dyDescent="0.25">
      <c r="B987" s="2012"/>
      <c r="C987" s="674"/>
      <c r="D987" s="674"/>
      <c r="E987" s="674"/>
      <c r="F987" s="674"/>
      <c r="G987" s="1476" t="s">
        <v>77</v>
      </c>
      <c r="H987" s="1476" t="s">
        <v>623</v>
      </c>
      <c r="I987" s="1473" t="s">
        <v>79</v>
      </c>
      <c r="J987" s="1473">
        <v>25</v>
      </c>
      <c r="K987" s="1480">
        <v>6</v>
      </c>
      <c r="L987" s="1480">
        <f>SUM(L988:L989)</f>
        <v>125000</v>
      </c>
      <c r="M987" s="1480">
        <v>5</v>
      </c>
      <c r="N987" s="1480">
        <f>SUM(N988:N989)</f>
        <v>125000</v>
      </c>
      <c r="O987" s="1480">
        <v>5</v>
      </c>
      <c r="P987" s="1480">
        <f>SUM(P988:P989)</f>
        <v>125</v>
      </c>
      <c r="Q987" s="1480">
        <v>5</v>
      </c>
      <c r="R987" s="1480">
        <f>SUM(R988:R989)</f>
        <v>135</v>
      </c>
      <c r="S987" s="1480">
        <v>5</v>
      </c>
      <c r="T987" s="1480">
        <f>SUM(T988:T989)</f>
        <v>135</v>
      </c>
      <c r="U987" s="1480">
        <v>5</v>
      </c>
      <c r="V987" s="1480">
        <f>SUM(V988:V989)</f>
        <v>135</v>
      </c>
      <c r="W987" s="1480">
        <v>31</v>
      </c>
      <c r="X987" s="1473"/>
      <c r="Y987" s="1474" t="s">
        <v>1153</v>
      </c>
    </row>
    <row r="988" spans="2:25" ht="76.5" x14ac:dyDescent="0.25">
      <c r="B988" s="2012"/>
      <c r="C988" s="674"/>
      <c r="D988" s="674"/>
      <c r="E988" s="674"/>
      <c r="F988" s="674"/>
      <c r="G988" s="1476" t="s">
        <v>624</v>
      </c>
      <c r="H988" s="1476" t="s">
        <v>3745</v>
      </c>
      <c r="I988" s="1473" t="s">
        <v>79</v>
      </c>
      <c r="J988" s="1473"/>
      <c r="K988" s="1480">
        <v>5</v>
      </c>
      <c r="L988" s="1480">
        <v>85000</v>
      </c>
      <c r="M988" s="1480">
        <v>4</v>
      </c>
      <c r="N988" s="1480">
        <v>85000</v>
      </c>
      <c r="O988" s="1480">
        <v>5</v>
      </c>
      <c r="P988" s="1480">
        <v>125</v>
      </c>
      <c r="Q988" s="1480">
        <v>5</v>
      </c>
      <c r="R988" s="1480">
        <v>135</v>
      </c>
      <c r="S988" s="1480">
        <v>5</v>
      </c>
      <c r="T988" s="1480">
        <v>135</v>
      </c>
      <c r="U988" s="1480">
        <v>5</v>
      </c>
      <c r="V988" s="1480">
        <v>135</v>
      </c>
      <c r="W988" s="1480">
        <v>22</v>
      </c>
      <c r="X988" s="1473"/>
      <c r="Y988" s="1474" t="s">
        <v>1153</v>
      </c>
    </row>
    <row r="989" spans="2:25" ht="63.75" x14ac:dyDescent="0.25">
      <c r="B989" s="2012"/>
      <c r="C989" s="674"/>
      <c r="D989" s="674"/>
      <c r="E989" s="674"/>
      <c r="F989" s="674"/>
      <c r="G989" s="1476" t="s">
        <v>616</v>
      </c>
      <c r="H989" s="1476" t="s">
        <v>3158</v>
      </c>
      <c r="I989" s="1473" t="s">
        <v>79</v>
      </c>
      <c r="J989" s="1473"/>
      <c r="K989" s="1480">
        <v>1</v>
      </c>
      <c r="L989" s="1480">
        <v>40000</v>
      </c>
      <c r="M989" s="1480">
        <v>1</v>
      </c>
      <c r="N989" s="1480">
        <v>40000</v>
      </c>
      <c r="O989" s="1480">
        <v>0</v>
      </c>
      <c r="P989" s="1480"/>
      <c r="Q989" s="1480">
        <v>0</v>
      </c>
      <c r="R989" s="1480"/>
      <c r="S989" s="1480">
        <v>0</v>
      </c>
      <c r="T989" s="1480"/>
      <c r="U989" s="1480">
        <v>0</v>
      </c>
      <c r="V989" s="1480">
        <v>0</v>
      </c>
      <c r="W989" s="1480"/>
      <c r="X989" s="1473"/>
      <c r="Y989" s="1474" t="s">
        <v>1153</v>
      </c>
    </row>
    <row r="990" spans="2:25" ht="38.25" x14ac:dyDescent="0.25">
      <c r="B990" s="2012"/>
      <c r="C990" s="674"/>
      <c r="D990" s="674"/>
      <c r="E990" s="674"/>
      <c r="F990" s="674"/>
      <c r="G990" s="1476" t="s">
        <v>625</v>
      </c>
      <c r="H990" s="1476" t="s">
        <v>3163</v>
      </c>
      <c r="I990" s="1473" t="s">
        <v>79</v>
      </c>
      <c r="J990" s="1480">
        <v>0</v>
      </c>
      <c r="K990" s="1480">
        <v>1</v>
      </c>
      <c r="L990" s="1480">
        <f>SUM(L991)</f>
        <v>25000</v>
      </c>
      <c r="M990" s="1480">
        <v>1</v>
      </c>
      <c r="N990" s="1480">
        <f>SUM(N991)</f>
        <v>25000</v>
      </c>
      <c r="O990" s="1480">
        <v>1</v>
      </c>
      <c r="P990" s="1480">
        <f>SUM(P991)</f>
        <v>25000</v>
      </c>
      <c r="Q990" s="1480">
        <v>1</v>
      </c>
      <c r="R990" s="1480">
        <f>SUM(R991)</f>
        <v>25000</v>
      </c>
      <c r="S990" s="1480">
        <v>1</v>
      </c>
      <c r="T990" s="1480">
        <f>SUM(T991)</f>
        <v>25000</v>
      </c>
      <c r="U990" s="1480">
        <v>1</v>
      </c>
      <c r="V990" s="1480">
        <f>SUM(V991)</f>
        <v>25000</v>
      </c>
      <c r="W990" s="1480">
        <v>6</v>
      </c>
      <c r="X990" s="1473"/>
      <c r="Y990" s="1474" t="s">
        <v>1153</v>
      </c>
    </row>
    <row r="991" spans="2:25" ht="38.25" x14ac:dyDescent="0.25">
      <c r="B991" s="2012"/>
      <c r="C991" s="674"/>
      <c r="D991" s="674"/>
      <c r="E991" s="674"/>
      <c r="F991" s="674"/>
      <c r="G991" s="1476" t="s">
        <v>169</v>
      </c>
      <c r="H991" s="1476" t="s">
        <v>3162</v>
      </c>
      <c r="I991" s="1473" t="s">
        <v>79</v>
      </c>
      <c r="J991" s="1473"/>
      <c r="K991" s="1480">
        <v>1</v>
      </c>
      <c r="L991" s="1480">
        <v>25000</v>
      </c>
      <c r="M991" s="1480">
        <v>1</v>
      </c>
      <c r="N991" s="1480">
        <v>25000</v>
      </c>
      <c r="O991" s="1480">
        <v>1</v>
      </c>
      <c r="P991" s="1480">
        <v>25000</v>
      </c>
      <c r="Q991" s="1480">
        <v>1</v>
      </c>
      <c r="R991" s="1480">
        <v>25000</v>
      </c>
      <c r="S991" s="1480">
        <v>1</v>
      </c>
      <c r="T991" s="1480">
        <v>25000</v>
      </c>
      <c r="U991" s="1480">
        <v>1</v>
      </c>
      <c r="V991" s="1480">
        <v>25000</v>
      </c>
      <c r="W991" s="1480">
        <v>6</v>
      </c>
      <c r="X991" s="1473"/>
      <c r="Y991" s="1474" t="s">
        <v>1153</v>
      </c>
    </row>
    <row r="992" spans="2:25" x14ac:dyDescent="0.25">
      <c r="B992" s="1745"/>
      <c r="C992" s="674"/>
      <c r="D992" s="674"/>
      <c r="E992" s="674"/>
      <c r="F992" s="173"/>
      <c r="G992" s="1740"/>
      <c r="H992" s="1741"/>
      <c r="I992" s="1737"/>
      <c r="J992" s="1737"/>
      <c r="K992" s="1744"/>
      <c r="L992" s="1744"/>
      <c r="M992" s="1744"/>
      <c r="N992" s="1744"/>
      <c r="O992" s="1744"/>
      <c r="P992" s="1744"/>
      <c r="Q992" s="1744"/>
      <c r="R992" s="1744"/>
      <c r="S992" s="1744"/>
      <c r="T992" s="1744"/>
      <c r="U992" s="1744"/>
      <c r="V992" s="1744"/>
      <c r="W992" s="1744"/>
      <c r="X992" s="1737"/>
      <c r="Y992" s="1738"/>
    </row>
    <row r="993" spans="2:25" ht="96" customHeight="1" x14ac:dyDescent="0.25">
      <c r="B993" s="1745"/>
      <c r="C993" s="674"/>
      <c r="D993" s="173" t="s">
        <v>3950</v>
      </c>
      <c r="E993" s="1320" t="s">
        <v>3951</v>
      </c>
      <c r="F993" s="173" t="s">
        <v>626</v>
      </c>
      <c r="G993" s="1737" t="s">
        <v>3949</v>
      </c>
      <c r="H993" s="1741"/>
      <c r="I993" s="1737" t="s">
        <v>19</v>
      </c>
      <c r="J993" s="706">
        <v>15</v>
      </c>
      <c r="K993" s="843">
        <v>25</v>
      </c>
      <c r="L993" s="843"/>
      <c r="M993" s="843">
        <v>35</v>
      </c>
      <c r="N993" s="843"/>
      <c r="O993" s="843">
        <v>45</v>
      </c>
      <c r="P993" s="843"/>
      <c r="Q993" s="843">
        <v>55</v>
      </c>
      <c r="R993" s="1744"/>
      <c r="S993" s="843">
        <v>65</v>
      </c>
      <c r="T993" s="1744"/>
      <c r="U993" s="843">
        <v>70</v>
      </c>
      <c r="V993" s="1744"/>
      <c r="W993" s="843">
        <v>70</v>
      </c>
      <c r="X993" s="1737"/>
      <c r="Y993" s="1738"/>
    </row>
    <row r="994" spans="2:25" ht="76.5" x14ac:dyDescent="0.25">
      <c r="B994" s="229"/>
      <c r="C994" s="674"/>
      <c r="D994" s="1322"/>
      <c r="E994" s="1322"/>
      <c r="F994" s="674"/>
      <c r="G994" s="1476" t="s">
        <v>627</v>
      </c>
      <c r="H994" s="673" t="s">
        <v>626</v>
      </c>
      <c r="I994" s="1475" t="s">
        <v>19</v>
      </c>
      <c r="J994" s="863">
        <v>15</v>
      </c>
      <c r="K994" s="163">
        <v>25</v>
      </c>
      <c r="L994" s="1480">
        <f>SUM(L995:L999)</f>
        <v>6132201</v>
      </c>
      <c r="M994" s="1480">
        <v>35</v>
      </c>
      <c r="N994" s="1480">
        <f>SUM(N995:N999)</f>
        <v>6291201</v>
      </c>
      <c r="O994" s="1480">
        <v>45</v>
      </c>
      <c r="P994" s="1480">
        <f>SUM(P995:P999)</f>
        <v>6331201</v>
      </c>
      <c r="Q994" s="1480">
        <v>55</v>
      </c>
      <c r="R994" s="1480">
        <f>SUM(R995:R999)</f>
        <v>6331201</v>
      </c>
      <c r="S994" s="1480">
        <v>65</v>
      </c>
      <c r="T994" s="1480">
        <f>SUM(T995:T999)</f>
        <v>6180201</v>
      </c>
      <c r="U994" s="1480">
        <v>70</v>
      </c>
      <c r="V994" s="1480">
        <f>SUM(V995:V999)</f>
        <v>6180201</v>
      </c>
      <c r="W994" s="1480">
        <f>U994</f>
        <v>70</v>
      </c>
      <c r="X994" s="1473"/>
      <c r="Y994" s="1474" t="s">
        <v>1153</v>
      </c>
    </row>
    <row r="995" spans="2:25" ht="63.75" x14ac:dyDescent="0.25">
      <c r="B995" s="229"/>
      <c r="C995" s="674"/>
      <c r="D995" s="674"/>
      <c r="E995" s="674"/>
      <c r="F995" s="674"/>
      <c r="G995" s="1476" t="s">
        <v>628</v>
      </c>
      <c r="H995" s="1476" t="s">
        <v>629</v>
      </c>
      <c r="I995" s="1473" t="s">
        <v>103</v>
      </c>
      <c r="J995" s="1473"/>
      <c r="K995" s="1480">
        <v>0</v>
      </c>
      <c r="L995" s="1480">
        <v>0</v>
      </c>
      <c r="M995" s="1480"/>
      <c r="N995" s="1480">
        <v>60000</v>
      </c>
      <c r="O995" s="1480"/>
      <c r="P995" s="1480">
        <v>70000</v>
      </c>
      <c r="Q995" s="1480"/>
      <c r="R995" s="1480">
        <v>70000</v>
      </c>
      <c r="S995" s="1480"/>
      <c r="T995" s="1480">
        <v>70000</v>
      </c>
      <c r="U995" s="1480"/>
      <c r="V995" s="1480">
        <v>70000</v>
      </c>
      <c r="W995" s="1480"/>
      <c r="X995" s="1473"/>
      <c r="Y995" s="1474" t="s">
        <v>1153</v>
      </c>
    </row>
    <row r="996" spans="2:25" ht="38.25" x14ac:dyDescent="0.25">
      <c r="B996" s="229"/>
      <c r="C996" s="674"/>
      <c r="D996" s="674"/>
      <c r="E996" s="674"/>
      <c r="F996" s="674"/>
      <c r="G996" s="1476" t="s">
        <v>630</v>
      </c>
      <c r="H996" s="1476" t="s">
        <v>631</v>
      </c>
      <c r="I996" s="1473" t="s">
        <v>103</v>
      </c>
      <c r="J996" s="1473"/>
      <c r="K996" s="1480">
        <v>3</v>
      </c>
      <c r="L996" s="1480">
        <v>59925</v>
      </c>
      <c r="M996" s="1480">
        <v>3</v>
      </c>
      <c r="N996" s="1480">
        <v>29925</v>
      </c>
      <c r="O996" s="1480">
        <v>3</v>
      </c>
      <c r="P996" s="1480">
        <v>59925</v>
      </c>
      <c r="Q996" s="1480">
        <v>3</v>
      </c>
      <c r="R996" s="1480">
        <v>59925</v>
      </c>
      <c r="S996" s="1480">
        <v>3</v>
      </c>
      <c r="T996" s="1480">
        <v>59925</v>
      </c>
      <c r="U996" s="1480">
        <v>3</v>
      </c>
      <c r="V996" s="1480">
        <v>59925</v>
      </c>
      <c r="W996" s="1480"/>
      <c r="X996" s="1473"/>
      <c r="Y996" s="1474" t="s">
        <v>1153</v>
      </c>
    </row>
    <row r="997" spans="2:25" ht="63.75" x14ac:dyDescent="0.25">
      <c r="B997" s="229"/>
      <c r="C997" s="674"/>
      <c r="D997" s="674"/>
      <c r="E997" s="674"/>
      <c r="F997" s="674"/>
      <c r="G997" s="1476" t="s">
        <v>632</v>
      </c>
      <c r="H997" s="1476" t="s">
        <v>633</v>
      </c>
      <c r="I997" s="1473" t="s">
        <v>103</v>
      </c>
      <c r="J997" s="1473"/>
      <c r="K997" s="1480">
        <v>21</v>
      </c>
      <c r="L997" s="1480">
        <v>5800276</v>
      </c>
      <c r="M997" s="1480">
        <v>21</v>
      </c>
      <c r="N997" s="1480">
        <v>5800276</v>
      </c>
      <c r="O997" s="1480">
        <v>21</v>
      </c>
      <c r="P997" s="1480">
        <v>5800276</v>
      </c>
      <c r="Q997" s="1480">
        <v>21</v>
      </c>
      <c r="R997" s="1480">
        <v>5800276</v>
      </c>
      <c r="S997" s="1480">
        <v>21</v>
      </c>
      <c r="T997" s="1480">
        <v>5800276</v>
      </c>
      <c r="U997" s="1480">
        <v>21</v>
      </c>
      <c r="V997" s="1480">
        <v>5800276</v>
      </c>
      <c r="W997" s="1480"/>
      <c r="X997" s="1473"/>
      <c r="Y997" s="1474" t="s">
        <v>1153</v>
      </c>
    </row>
    <row r="998" spans="2:25" ht="51" x14ac:dyDescent="0.25">
      <c r="B998" s="229"/>
      <c r="C998" s="674"/>
      <c r="D998" s="674"/>
      <c r="E998" s="674"/>
      <c r="F998" s="674"/>
      <c r="G998" s="1476" t="s">
        <v>634</v>
      </c>
      <c r="H998" s="1476" t="s">
        <v>635</v>
      </c>
      <c r="I998" s="1473" t="s">
        <v>103</v>
      </c>
      <c r="J998" s="1473"/>
      <c r="K998" s="1480">
        <v>62</v>
      </c>
      <c r="L998" s="1480">
        <v>272000</v>
      </c>
      <c r="M998" s="1480">
        <v>62</v>
      </c>
      <c r="N998" s="1480">
        <v>250000</v>
      </c>
      <c r="O998" s="1480">
        <v>62</v>
      </c>
      <c r="P998" s="1480">
        <v>250000</v>
      </c>
      <c r="Q998" s="1480">
        <v>62</v>
      </c>
      <c r="R998" s="1480">
        <v>250000</v>
      </c>
      <c r="S998" s="1480">
        <v>62</v>
      </c>
      <c r="T998" s="1480">
        <v>250000</v>
      </c>
      <c r="U998" s="1480">
        <v>62</v>
      </c>
      <c r="V998" s="1480">
        <v>250000</v>
      </c>
      <c r="W998" s="1480"/>
      <c r="X998" s="1473"/>
      <c r="Y998" s="1474" t="s">
        <v>1153</v>
      </c>
    </row>
    <row r="999" spans="2:25" ht="76.5" x14ac:dyDescent="0.25">
      <c r="B999" s="229"/>
      <c r="C999" s="674"/>
      <c r="D999" s="674"/>
      <c r="E999" s="674"/>
      <c r="F999" s="674"/>
      <c r="G999" s="1476" t="s">
        <v>614</v>
      </c>
      <c r="H999" s="1476" t="s">
        <v>615</v>
      </c>
      <c r="I999" s="1473" t="s">
        <v>613</v>
      </c>
      <c r="J999" s="1473"/>
      <c r="K999" s="1480">
        <v>0</v>
      </c>
      <c r="L999" s="1480">
        <v>0</v>
      </c>
      <c r="M999" s="1480">
        <v>67</v>
      </c>
      <c r="N999" s="1480">
        <v>151000</v>
      </c>
      <c r="O999" s="1480">
        <v>67</v>
      </c>
      <c r="P999" s="1480">
        <v>151000</v>
      </c>
      <c r="Q999" s="1480">
        <v>67</v>
      </c>
      <c r="R999" s="1480">
        <v>151000</v>
      </c>
      <c r="S999" s="1480">
        <v>67</v>
      </c>
      <c r="T999" s="1480">
        <v>0</v>
      </c>
      <c r="U999" s="1480">
        <v>67</v>
      </c>
      <c r="V999" s="1480">
        <v>0</v>
      </c>
      <c r="W999" s="1480">
        <v>335</v>
      </c>
      <c r="X999" s="1473"/>
      <c r="Y999" s="1474" t="s">
        <v>1153</v>
      </c>
    </row>
    <row r="1000" spans="2:25" ht="51" x14ac:dyDescent="0.25">
      <c r="B1000" s="229"/>
      <c r="C1000" s="674"/>
      <c r="D1000" s="674"/>
      <c r="E1000" s="674"/>
      <c r="F1000" s="1478"/>
      <c r="G1000" s="1476" t="s">
        <v>637</v>
      </c>
      <c r="H1000" s="1476" t="s">
        <v>636</v>
      </c>
      <c r="I1000" s="1473" t="s">
        <v>19</v>
      </c>
      <c r="J1000" s="1480">
        <v>100</v>
      </c>
      <c r="K1000" s="1480">
        <v>100</v>
      </c>
      <c r="L1000" s="1480">
        <f>SUM(L1001)</f>
        <v>248800</v>
      </c>
      <c r="M1000" s="1480">
        <v>100</v>
      </c>
      <c r="N1000" s="1480">
        <f>SUM(N1001)</f>
        <v>200000</v>
      </c>
      <c r="O1000" s="1480">
        <v>100</v>
      </c>
      <c r="P1000" s="1480">
        <f>SUM(P1001)</f>
        <v>248800</v>
      </c>
      <c r="Q1000" s="1480">
        <v>100</v>
      </c>
      <c r="R1000" s="1480">
        <f>SUM(R1001)</f>
        <v>260000</v>
      </c>
      <c r="S1000" s="1480">
        <v>100</v>
      </c>
      <c r="T1000" s="1480">
        <f>SUM(T1001)</f>
        <v>265000</v>
      </c>
      <c r="U1000" s="1480">
        <v>100</v>
      </c>
      <c r="V1000" s="1480">
        <f>SUM(V1001)</f>
        <v>270000</v>
      </c>
      <c r="W1000" s="1480">
        <v>100</v>
      </c>
      <c r="X1000" s="1473"/>
      <c r="Y1000" s="1474" t="s">
        <v>1153</v>
      </c>
    </row>
    <row r="1001" spans="2:25" ht="153" x14ac:dyDescent="0.25">
      <c r="B1001" s="229"/>
      <c r="C1001" s="674"/>
      <c r="D1001" s="674"/>
      <c r="E1001" s="674"/>
      <c r="F1001" s="674"/>
      <c r="G1001" s="1476" t="s">
        <v>638</v>
      </c>
      <c r="H1001" s="1476" t="s">
        <v>639</v>
      </c>
      <c r="I1001" s="1473" t="s">
        <v>640</v>
      </c>
      <c r="J1001" s="1473"/>
      <c r="K1001" s="1480">
        <v>5</v>
      </c>
      <c r="L1001" s="1480">
        <v>248800</v>
      </c>
      <c r="M1001" s="1480">
        <v>5</v>
      </c>
      <c r="N1001" s="1480">
        <v>200000</v>
      </c>
      <c r="O1001" s="1480">
        <v>5</v>
      </c>
      <c r="P1001" s="1480">
        <v>248800</v>
      </c>
      <c r="Q1001" s="1480">
        <v>5</v>
      </c>
      <c r="R1001" s="1480">
        <v>260000</v>
      </c>
      <c r="S1001" s="1480">
        <v>5</v>
      </c>
      <c r="T1001" s="1480">
        <v>265000</v>
      </c>
      <c r="U1001" s="1480">
        <v>5</v>
      </c>
      <c r="V1001" s="1480">
        <v>270000</v>
      </c>
      <c r="W1001" s="1480"/>
      <c r="X1001" s="1473"/>
      <c r="Y1001" s="1474" t="s">
        <v>1153</v>
      </c>
    </row>
    <row r="1002" spans="2:25" ht="51" x14ac:dyDescent="0.25">
      <c r="B1002" s="229"/>
      <c r="C1002" s="674"/>
      <c r="D1002" s="674"/>
      <c r="E1002" s="674"/>
      <c r="F1002" s="1478"/>
      <c r="G1002" s="1476" t="s">
        <v>642</v>
      </c>
      <c r="H1002" s="1476" t="s">
        <v>641</v>
      </c>
      <c r="I1002" s="1473" t="s">
        <v>19</v>
      </c>
      <c r="J1002" s="1473"/>
      <c r="K1002" s="1480">
        <v>100</v>
      </c>
      <c r="L1002" s="1480">
        <f>SUM(L1003)</f>
        <v>0</v>
      </c>
      <c r="M1002" s="1480">
        <v>100</v>
      </c>
      <c r="N1002" s="1480">
        <f>SUM(N1003)</f>
        <v>100000</v>
      </c>
      <c r="O1002" s="1480">
        <v>100</v>
      </c>
      <c r="P1002" s="1480">
        <f>SUM(P1003)</f>
        <v>100000</v>
      </c>
      <c r="Q1002" s="1480">
        <v>100</v>
      </c>
      <c r="R1002" s="1480">
        <f>SUM(R1003)</f>
        <v>100000</v>
      </c>
      <c r="S1002" s="1480">
        <v>100</v>
      </c>
      <c r="T1002" s="1480">
        <f>SUM(T1003)</f>
        <v>100000</v>
      </c>
      <c r="U1002" s="1480">
        <v>100</v>
      </c>
      <c r="V1002" s="1480">
        <f>SUM(V1003)</f>
        <v>100000</v>
      </c>
      <c r="W1002" s="1480">
        <v>100</v>
      </c>
      <c r="X1002" s="1473"/>
      <c r="Y1002" s="1474" t="s">
        <v>1153</v>
      </c>
    </row>
    <row r="1003" spans="2:25" ht="102" x14ac:dyDescent="0.25">
      <c r="B1003" s="229"/>
      <c r="C1003" s="674"/>
      <c r="D1003" s="674"/>
      <c r="E1003" s="674"/>
      <c r="F1003" s="674"/>
      <c r="G1003" s="1476" t="s">
        <v>276</v>
      </c>
      <c r="H1003" s="1476" t="s">
        <v>643</v>
      </c>
      <c r="I1003" s="1473" t="s">
        <v>324</v>
      </c>
      <c r="J1003" s="1473"/>
      <c r="K1003" s="1480">
        <v>1</v>
      </c>
      <c r="L1003" s="1480">
        <v>0</v>
      </c>
      <c r="M1003" s="1480">
        <v>1</v>
      </c>
      <c r="N1003" s="1480">
        <v>100000</v>
      </c>
      <c r="O1003" s="1480">
        <v>1</v>
      </c>
      <c r="P1003" s="1480">
        <v>100000</v>
      </c>
      <c r="Q1003" s="1480">
        <v>1</v>
      </c>
      <c r="R1003" s="1480">
        <v>100000</v>
      </c>
      <c r="S1003" s="1480">
        <v>1</v>
      </c>
      <c r="T1003" s="1480">
        <v>100000</v>
      </c>
      <c r="U1003" s="1480">
        <v>1</v>
      </c>
      <c r="V1003" s="1480">
        <v>100000</v>
      </c>
      <c r="W1003" s="1480"/>
      <c r="X1003" s="1473"/>
      <c r="Y1003" s="1474" t="s">
        <v>1153</v>
      </c>
    </row>
    <row r="1004" spans="2:25" ht="25.5" x14ac:dyDescent="0.25">
      <c r="B1004" s="229"/>
      <c r="C1004" s="674"/>
      <c r="D1004" s="674"/>
      <c r="E1004" s="674"/>
      <c r="F1004" s="1478"/>
      <c r="G1004" s="1476" t="s">
        <v>645</v>
      </c>
      <c r="H1004" s="1476" t="s">
        <v>644</v>
      </c>
      <c r="I1004" s="1473" t="s">
        <v>1461</v>
      </c>
      <c r="J1004" s="1473"/>
      <c r="K1004" s="1480"/>
      <c r="L1004" s="1480">
        <f>SUM(L1005:L1007)</f>
        <v>1765190</v>
      </c>
      <c r="M1004" s="1480"/>
      <c r="N1004" s="1480">
        <f>SUM(N1005:N1007)</f>
        <v>2031215</v>
      </c>
      <c r="O1004" s="1480"/>
      <c r="P1004" s="1480">
        <f>SUM(P1005:P1007)</f>
        <v>2031215</v>
      </c>
      <c r="Q1004" s="1480"/>
      <c r="R1004" s="1480">
        <f>SUM(R1005:R1007)</f>
        <v>2031215</v>
      </c>
      <c r="S1004" s="1480"/>
      <c r="T1004" s="1480">
        <f>SUM(T1005:T1007)</f>
        <v>2031215</v>
      </c>
      <c r="U1004" s="1480"/>
      <c r="V1004" s="1480">
        <f>SUM(V1005:V1007)</f>
        <v>2031215</v>
      </c>
      <c r="W1004" s="1480">
        <f>U1004+S1004+Q1004+O1004+M1004+K1004</f>
        <v>0</v>
      </c>
      <c r="X1004" s="1473"/>
      <c r="Y1004" s="1474" t="s">
        <v>1153</v>
      </c>
    </row>
    <row r="1005" spans="2:25" ht="51" x14ac:dyDescent="0.25">
      <c r="B1005" s="229"/>
      <c r="C1005" s="674"/>
      <c r="D1005" s="674"/>
      <c r="E1005" s="674"/>
      <c r="F1005" s="674"/>
      <c r="G1005" s="1476" t="s">
        <v>647</v>
      </c>
      <c r="H1005" s="1476" t="s">
        <v>648</v>
      </c>
      <c r="I1005" s="1473" t="s">
        <v>1461</v>
      </c>
      <c r="J1005" s="1473"/>
      <c r="K1005" s="1480"/>
      <c r="L1005" s="1480">
        <v>442525</v>
      </c>
      <c r="M1005" s="1480"/>
      <c r="N1005" s="1480">
        <v>442525</v>
      </c>
      <c r="O1005" s="1480"/>
      <c r="P1005" s="1480">
        <v>442525</v>
      </c>
      <c r="Q1005" s="1480"/>
      <c r="R1005" s="1480">
        <v>442525</v>
      </c>
      <c r="S1005" s="1480"/>
      <c r="T1005" s="1480">
        <v>442525</v>
      </c>
      <c r="U1005" s="1480"/>
      <c r="V1005" s="1480">
        <v>442525</v>
      </c>
      <c r="W1005" s="1480"/>
      <c r="X1005" s="1473"/>
      <c r="Y1005" s="1474" t="s">
        <v>1153</v>
      </c>
    </row>
    <row r="1006" spans="2:25" ht="51" x14ac:dyDescent="0.25">
      <c r="B1006" s="229"/>
      <c r="C1006" s="674"/>
      <c r="D1006" s="674"/>
      <c r="E1006" s="674"/>
      <c r="F1006" s="674"/>
      <c r="G1006" s="1476" t="s">
        <v>649</v>
      </c>
      <c r="H1006" s="1476" t="s">
        <v>650</v>
      </c>
      <c r="I1006" s="1473" t="s">
        <v>1461</v>
      </c>
      <c r="J1006" s="1473"/>
      <c r="K1006" s="1480"/>
      <c r="L1006" s="1480">
        <v>0</v>
      </c>
      <c r="M1006" s="1480"/>
      <c r="N1006" s="1480">
        <v>467525</v>
      </c>
      <c r="O1006" s="1480"/>
      <c r="P1006" s="1480">
        <v>467525</v>
      </c>
      <c r="Q1006" s="1480"/>
      <c r="R1006" s="1480">
        <v>467525</v>
      </c>
      <c r="S1006" s="1480"/>
      <c r="T1006" s="1480">
        <v>467525</v>
      </c>
      <c r="U1006" s="1480"/>
      <c r="V1006" s="1480">
        <v>467525</v>
      </c>
      <c r="W1006" s="1480"/>
      <c r="X1006" s="1473"/>
      <c r="Y1006" s="1474" t="s">
        <v>1153</v>
      </c>
    </row>
    <row r="1007" spans="2:25" ht="51" x14ac:dyDescent="0.25">
      <c r="B1007" s="1195"/>
      <c r="C1007" s="675"/>
      <c r="D1007" s="675"/>
      <c r="E1007" s="675"/>
      <c r="F1007" s="674"/>
      <c r="G1007" s="1477" t="s">
        <v>651</v>
      </c>
      <c r="H1007" s="1477" t="s">
        <v>652</v>
      </c>
      <c r="I1007" s="933" t="s">
        <v>103</v>
      </c>
      <c r="J1007" s="933"/>
      <c r="K1007" s="942">
        <v>10</v>
      </c>
      <c r="L1007" s="942">
        <v>1322665</v>
      </c>
      <c r="M1007" s="942">
        <v>10</v>
      </c>
      <c r="N1007" s="942">
        <v>1121165</v>
      </c>
      <c r="O1007" s="942">
        <v>10</v>
      </c>
      <c r="P1007" s="942">
        <v>1121165</v>
      </c>
      <c r="Q1007" s="942">
        <v>10</v>
      </c>
      <c r="R1007" s="942">
        <v>1121165</v>
      </c>
      <c r="S1007" s="942">
        <v>10</v>
      </c>
      <c r="T1007" s="942">
        <v>1121165</v>
      </c>
      <c r="U1007" s="942">
        <v>10</v>
      </c>
      <c r="V1007" s="942">
        <v>1121165</v>
      </c>
      <c r="W1007" s="942"/>
      <c r="X1007" s="933"/>
      <c r="Y1007" s="1713" t="s">
        <v>1153</v>
      </c>
    </row>
    <row r="1008" spans="2:25" s="949" customFormat="1" ht="13.5" thickBot="1" x14ac:dyDescent="0.3">
      <c r="B1008" s="866" t="s">
        <v>1818</v>
      </c>
      <c r="C1008" s="892"/>
      <c r="D1008" s="892"/>
      <c r="E1008" s="892"/>
      <c r="F1008" s="892"/>
      <c r="G1008" s="233"/>
      <c r="H1008" s="230"/>
      <c r="I1008" s="1483"/>
      <c r="J1008" s="233"/>
      <c r="K1008" s="1631"/>
      <c r="L1008" s="1631">
        <f>SUM(L963:L1007)/2</f>
        <v>12878515</v>
      </c>
      <c r="M1008" s="1631"/>
      <c r="N1008" s="1631">
        <f>SUM(N963:N1007)/2</f>
        <v>16904032.23</v>
      </c>
      <c r="O1008" s="1631"/>
      <c r="P1008" s="1631">
        <f>SUM(P963:P1007)/2</f>
        <v>16786949</v>
      </c>
      <c r="Q1008" s="1631"/>
      <c r="R1008" s="1631">
        <f>SUM(R963:R1007)/2</f>
        <v>15072359</v>
      </c>
      <c r="S1008" s="1631"/>
      <c r="T1008" s="1631">
        <f>SUM(T963:T1007)/2</f>
        <v>11764359</v>
      </c>
      <c r="U1008" s="1631"/>
      <c r="V1008" s="1631">
        <f>SUM(V963:V1007)/2</f>
        <v>11769359</v>
      </c>
      <c r="W1008" s="1631"/>
      <c r="X1008" s="233"/>
      <c r="Y1008" s="1714"/>
    </row>
    <row r="1009" spans="2:25" ht="13.5" thickTop="1" x14ac:dyDescent="0.25">
      <c r="I1009" s="1238"/>
      <c r="J1009" s="1238"/>
      <c r="K1009" s="1238"/>
      <c r="L1009" s="1238"/>
      <c r="M1009" s="1238"/>
      <c r="N1009" s="1238"/>
      <c r="O1009" s="1238"/>
      <c r="P1009" s="1238"/>
      <c r="Q1009" s="1238"/>
      <c r="R1009" s="1238"/>
      <c r="S1009" s="1238"/>
      <c r="T1009" s="1238"/>
      <c r="U1009" s="1238"/>
      <c r="V1009" s="1238"/>
      <c r="W1009" s="1238"/>
    </row>
    <row r="1010" spans="2:25" ht="13.5" thickBot="1" x14ac:dyDescent="0.3">
      <c r="B1010" s="883" t="s">
        <v>1154</v>
      </c>
      <c r="I1010" s="1238"/>
      <c r="J1010" s="1238"/>
      <c r="K1010" s="1238"/>
      <c r="L1010" s="1238"/>
      <c r="M1010" s="1238"/>
      <c r="N1010" s="1238"/>
      <c r="O1010" s="1238"/>
      <c r="P1010" s="1238"/>
      <c r="Q1010" s="1238"/>
      <c r="R1010" s="1238"/>
      <c r="S1010" s="1238"/>
      <c r="T1010" s="1238"/>
      <c r="U1010" s="1238"/>
      <c r="V1010" s="1238"/>
      <c r="W1010" s="1238"/>
    </row>
    <row r="1011" spans="2:25" ht="13.5" thickTop="1" x14ac:dyDescent="0.25">
      <c r="B1011" s="2045" t="s">
        <v>494</v>
      </c>
      <c r="C1011" s="2040" t="s">
        <v>752</v>
      </c>
      <c r="D1011" s="2040" t="s">
        <v>576</v>
      </c>
      <c r="E1011" s="2040" t="s">
        <v>577</v>
      </c>
      <c r="F1011" s="2040" t="s">
        <v>3127</v>
      </c>
      <c r="G1011" s="2040" t="s">
        <v>3128</v>
      </c>
      <c r="H1011" s="2040" t="s">
        <v>966</v>
      </c>
      <c r="I1011" s="2040" t="s">
        <v>421</v>
      </c>
      <c r="J1011" s="2055" t="s">
        <v>967</v>
      </c>
      <c r="K1011" s="2053" t="s">
        <v>7</v>
      </c>
      <c r="L1011" s="2054"/>
      <c r="M1011" s="2054"/>
      <c r="N1011" s="2054"/>
      <c r="O1011" s="2054"/>
      <c r="P1011" s="2054"/>
      <c r="Q1011" s="2054"/>
      <c r="R1011" s="2054"/>
      <c r="S1011" s="2054"/>
      <c r="T1011" s="2054"/>
      <c r="U1011" s="2054"/>
      <c r="V1011" s="2054"/>
      <c r="W1011" s="2054"/>
      <c r="X1011" s="2040" t="s">
        <v>653</v>
      </c>
      <c r="Y1011" s="2049" t="s">
        <v>1147</v>
      </c>
    </row>
    <row r="1012" spans="2:25" x14ac:dyDescent="0.25">
      <c r="B1012" s="2046"/>
      <c r="C1012" s="2041"/>
      <c r="D1012" s="2041"/>
      <c r="E1012" s="2041"/>
      <c r="F1012" s="2041"/>
      <c r="G1012" s="2041"/>
      <c r="H1012" s="2041"/>
      <c r="I1012" s="2041"/>
      <c r="J1012" s="2052"/>
      <c r="K1012" s="2051" t="s">
        <v>114</v>
      </c>
      <c r="L1012" s="2038"/>
      <c r="M1012" s="2051" t="s">
        <v>115</v>
      </c>
      <c r="N1012" s="2038"/>
      <c r="O1012" s="2051" t="s">
        <v>116</v>
      </c>
      <c r="P1012" s="2038"/>
      <c r="Q1012" s="2051" t="s">
        <v>117</v>
      </c>
      <c r="R1012" s="2038"/>
      <c r="S1012" s="2051" t="s">
        <v>118</v>
      </c>
      <c r="T1012" s="2038"/>
      <c r="U1012" s="2051" t="s">
        <v>119</v>
      </c>
      <c r="V1012" s="2038"/>
      <c r="W1012" s="2052" t="s">
        <v>968</v>
      </c>
      <c r="X1012" s="2041"/>
      <c r="Y1012" s="2050"/>
    </row>
    <row r="1013" spans="2:25" x14ac:dyDescent="0.25">
      <c r="B1013" s="2046"/>
      <c r="C1013" s="2041"/>
      <c r="D1013" s="2041"/>
      <c r="E1013" s="2041"/>
      <c r="F1013" s="2041"/>
      <c r="G1013" s="2041"/>
      <c r="H1013" s="2041"/>
      <c r="I1013" s="2041"/>
      <c r="J1013" s="2052"/>
      <c r="K1013" s="1263" t="s">
        <v>9</v>
      </c>
      <c r="L1013" s="1503" t="s">
        <v>3107</v>
      </c>
      <c r="M1013" s="1263" t="s">
        <v>9</v>
      </c>
      <c r="N1013" s="1503" t="s">
        <v>1355</v>
      </c>
      <c r="O1013" s="1263" t="s">
        <v>9</v>
      </c>
      <c r="P1013" s="1503" t="s">
        <v>1355</v>
      </c>
      <c r="Q1013" s="1263" t="s">
        <v>9</v>
      </c>
      <c r="R1013" s="1503" t="s">
        <v>1355</v>
      </c>
      <c r="S1013" s="1263" t="s">
        <v>9</v>
      </c>
      <c r="T1013" s="1503" t="s">
        <v>1355</v>
      </c>
      <c r="U1013" s="1263" t="s">
        <v>9</v>
      </c>
      <c r="V1013" s="1503" t="s">
        <v>1355</v>
      </c>
      <c r="W1013" s="2052"/>
      <c r="X1013" s="2041"/>
      <c r="Y1013" s="2050"/>
    </row>
    <row r="1014" spans="2:25" s="1239" customFormat="1" x14ac:dyDescent="0.25">
      <c r="B1014" s="1504" t="s">
        <v>586</v>
      </c>
      <c r="C1014" s="1448" t="s">
        <v>585</v>
      </c>
      <c r="D1014" s="1448" t="s">
        <v>654</v>
      </c>
      <c r="E1014" s="1448" t="s">
        <v>655</v>
      </c>
      <c r="F1014" s="1505" t="s">
        <v>32</v>
      </c>
      <c r="G1014" s="933">
        <v>6</v>
      </c>
      <c r="H1014" s="1505">
        <v>7</v>
      </c>
      <c r="I1014" s="1445" t="s">
        <v>3065</v>
      </c>
      <c r="J1014" s="1269" t="s">
        <v>3066</v>
      </c>
      <c r="K1014" s="1269" t="s">
        <v>3067</v>
      </c>
      <c r="L1014" s="1506" t="s">
        <v>3068</v>
      </c>
      <c r="M1014" s="1269" t="s">
        <v>3069</v>
      </c>
      <c r="N1014" s="1506">
        <v>13</v>
      </c>
      <c r="O1014" s="1269">
        <v>14</v>
      </c>
      <c r="P1014" s="1506">
        <v>15</v>
      </c>
      <c r="Q1014" s="1269">
        <v>16</v>
      </c>
      <c r="R1014" s="1506">
        <v>17</v>
      </c>
      <c r="S1014" s="1269">
        <v>18</v>
      </c>
      <c r="T1014" s="1506">
        <v>19</v>
      </c>
      <c r="U1014" s="1269">
        <v>20</v>
      </c>
      <c r="V1014" s="1506">
        <v>21</v>
      </c>
      <c r="W1014" s="1269">
        <v>22</v>
      </c>
      <c r="X1014" s="1445">
        <v>23</v>
      </c>
      <c r="Y1014" s="1507">
        <v>24</v>
      </c>
    </row>
    <row r="1015" spans="2:25" ht="63.75" x14ac:dyDescent="0.25">
      <c r="B1015" s="2011" t="s">
        <v>120</v>
      </c>
      <c r="C1015" s="2013" t="s">
        <v>34</v>
      </c>
      <c r="D1015" s="2013" t="s">
        <v>3831</v>
      </c>
      <c r="E1015" s="2013" t="s">
        <v>3836</v>
      </c>
      <c r="F1015" s="173" t="s">
        <v>35</v>
      </c>
      <c r="G1015" s="173" t="s">
        <v>3133</v>
      </c>
      <c r="H1015" s="173" t="s">
        <v>35</v>
      </c>
      <c r="I1015" s="1473" t="s">
        <v>19</v>
      </c>
      <c r="J1015" s="173">
        <v>90</v>
      </c>
      <c r="K1015" s="173">
        <v>91</v>
      </c>
      <c r="L1015" s="1447"/>
      <c r="M1015" s="173">
        <v>92</v>
      </c>
      <c r="N1015" s="1447"/>
      <c r="O1015" s="173">
        <v>93</v>
      </c>
      <c r="P1015" s="1447"/>
      <c r="Q1015" s="173">
        <v>94</v>
      </c>
      <c r="R1015" s="1447"/>
      <c r="S1015" s="173">
        <v>95</v>
      </c>
      <c r="T1015" s="1447"/>
      <c r="U1015" s="173">
        <v>96</v>
      </c>
      <c r="V1015" s="1447"/>
      <c r="W1015" s="173">
        <f>U1015</f>
        <v>96</v>
      </c>
      <c r="X1015" s="173"/>
      <c r="Y1015" s="1474" t="s">
        <v>1154</v>
      </c>
    </row>
    <row r="1016" spans="2:25" ht="63.75" x14ac:dyDescent="0.25">
      <c r="B1016" s="2012"/>
      <c r="C1016" s="2014"/>
      <c r="D1016" s="2014"/>
      <c r="E1016" s="2014"/>
      <c r="F1016" s="674"/>
      <c r="G1016" s="1476" t="s">
        <v>36</v>
      </c>
      <c r="H1016" s="173" t="s">
        <v>122</v>
      </c>
      <c r="I1016" s="1473" t="s">
        <v>19</v>
      </c>
      <c r="J1016" s="1143">
        <v>100</v>
      </c>
      <c r="K1016" s="1475">
        <v>20</v>
      </c>
      <c r="L1016" s="1143">
        <f>SUM(L1017:L1029)</f>
        <v>1244000</v>
      </c>
      <c r="M1016" s="1143">
        <v>20</v>
      </c>
      <c r="N1016" s="1143">
        <f>SUM(N1017:N1029)</f>
        <v>1539750</v>
      </c>
      <c r="O1016" s="1480">
        <v>15</v>
      </c>
      <c r="P1016" s="1143">
        <f>SUM(P1017:P1029)</f>
        <v>1693725</v>
      </c>
      <c r="Q1016" s="1143">
        <v>15</v>
      </c>
      <c r="R1016" s="1143">
        <f>SUM(R1017:R1029)</f>
        <v>1863097.5</v>
      </c>
      <c r="S1016" s="1143">
        <v>15</v>
      </c>
      <c r="T1016" s="1143">
        <f>SUM(T1017:T1029)</f>
        <v>2049407.25</v>
      </c>
      <c r="U1016" s="1143">
        <v>15</v>
      </c>
      <c r="V1016" s="1143">
        <f>SUM(V1017:V1029)</f>
        <v>2254347.9750000001</v>
      </c>
      <c r="W1016" s="1447">
        <v>100</v>
      </c>
      <c r="X1016" s="173"/>
      <c r="Y1016" s="1474" t="s">
        <v>1154</v>
      </c>
    </row>
    <row r="1017" spans="2:25" ht="25.5" x14ac:dyDescent="0.25">
      <c r="B1017" s="2012"/>
      <c r="C1017" s="2014"/>
      <c r="D1017" s="1478"/>
      <c r="E1017" s="674"/>
      <c r="F1017" s="674"/>
      <c r="G1017" s="1476" t="s">
        <v>124</v>
      </c>
      <c r="H1017" s="1476" t="s">
        <v>590</v>
      </c>
      <c r="I1017" s="1473" t="s">
        <v>40</v>
      </c>
      <c r="J1017" s="1143"/>
      <c r="K1017" s="1475">
        <v>12</v>
      </c>
      <c r="L1017" s="1480">
        <v>6000</v>
      </c>
      <c r="M1017" s="161">
        <v>12</v>
      </c>
      <c r="N1017" s="1143">
        <v>5250</v>
      </c>
      <c r="O1017" s="1480">
        <v>12</v>
      </c>
      <c r="P1017" s="1143">
        <v>5775</v>
      </c>
      <c r="Q1017" s="161">
        <v>12</v>
      </c>
      <c r="R1017" s="1143">
        <v>6352.5</v>
      </c>
      <c r="S1017" s="161">
        <v>12</v>
      </c>
      <c r="T1017" s="1143">
        <v>6987.75</v>
      </c>
      <c r="U1017" s="161">
        <v>12</v>
      </c>
      <c r="V1017" s="1143">
        <v>7686.5249999999996</v>
      </c>
      <c r="W1017" s="1447"/>
      <c r="X1017" s="173"/>
      <c r="Y1017" s="1474" t="s">
        <v>1154</v>
      </c>
    </row>
    <row r="1018" spans="2:25" ht="63.75" x14ac:dyDescent="0.25">
      <c r="B1018" s="2012"/>
      <c r="C1018" s="1478"/>
      <c r="D1018" s="1478"/>
      <c r="E1018" s="674"/>
      <c r="F1018" s="674"/>
      <c r="G1018" s="1476" t="s">
        <v>126</v>
      </c>
      <c r="H1018" s="1476" t="s">
        <v>592</v>
      </c>
      <c r="I1018" s="1473" t="s">
        <v>40</v>
      </c>
      <c r="J1018" s="1143"/>
      <c r="K1018" s="1475">
        <v>12</v>
      </c>
      <c r="L1018" s="1480">
        <v>250000</v>
      </c>
      <c r="M1018" s="161">
        <v>12</v>
      </c>
      <c r="N1018" s="1143">
        <v>400000</v>
      </c>
      <c r="O1018" s="863">
        <v>12</v>
      </c>
      <c r="P1018" s="1143">
        <v>440000</v>
      </c>
      <c r="Q1018" s="161">
        <v>12</v>
      </c>
      <c r="R1018" s="1143">
        <v>484000</v>
      </c>
      <c r="S1018" s="161">
        <v>12</v>
      </c>
      <c r="T1018" s="1143">
        <v>532400</v>
      </c>
      <c r="U1018" s="161">
        <v>12</v>
      </c>
      <c r="V1018" s="1143">
        <v>585640</v>
      </c>
      <c r="W1018" s="1447"/>
      <c r="X1018" s="173"/>
      <c r="Y1018" s="1474" t="s">
        <v>1154</v>
      </c>
    </row>
    <row r="1019" spans="2:25" ht="63.75" x14ac:dyDescent="0.25">
      <c r="B1019" s="2012"/>
      <c r="C1019" s="1478"/>
      <c r="D1019" s="1478"/>
      <c r="E1019" s="674"/>
      <c r="F1019" s="674"/>
      <c r="G1019" s="1476" t="s">
        <v>43</v>
      </c>
      <c r="H1019" s="1476" t="s">
        <v>594</v>
      </c>
      <c r="I1019" s="1473" t="s">
        <v>40</v>
      </c>
      <c r="J1019" s="1143"/>
      <c r="K1019" s="1475">
        <v>12</v>
      </c>
      <c r="L1019" s="1480">
        <v>225500</v>
      </c>
      <c r="M1019" s="161">
        <v>12</v>
      </c>
      <c r="N1019" s="1143">
        <v>226500</v>
      </c>
      <c r="O1019" s="863">
        <v>12</v>
      </c>
      <c r="P1019" s="1143">
        <v>249150</v>
      </c>
      <c r="Q1019" s="161">
        <v>12</v>
      </c>
      <c r="R1019" s="1143">
        <v>274065</v>
      </c>
      <c r="S1019" s="161">
        <v>12</v>
      </c>
      <c r="T1019" s="1143">
        <v>301471.5</v>
      </c>
      <c r="U1019" s="161">
        <v>12</v>
      </c>
      <c r="V1019" s="1143">
        <v>331618.65000000002</v>
      </c>
      <c r="W1019" s="1447"/>
      <c r="X1019" s="173"/>
      <c r="Y1019" s="1474" t="s">
        <v>1154</v>
      </c>
    </row>
    <row r="1020" spans="2:25" ht="51" x14ac:dyDescent="0.25">
      <c r="B1020" s="2012"/>
      <c r="C1020" s="1478"/>
      <c r="D1020" s="1478"/>
      <c r="E1020" s="674"/>
      <c r="F1020" s="674"/>
      <c r="G1020" s="1476" t="s">
        <v>45</v>
      </c>
      <c r="H1020" s="1476" t="s">
        <v>595</v>
      </c>
      <c r="I1020" s="1473" t="s">
        <v>40</v>
      </c>
      <c r="J1020" s="1143"/>
      <c r="K1020" s="1475">
        <v>12</v>
      </c>
      <c r="L1020" s="1480">
        <v>250000</v>
      </c>
      <c r="M1020" s="1475">
        <v>12</v>
      </c>
      <c r="N1020" s="1143">
        <v>350000</v>
      </c>
      <c r="O1020" s="1480">
        <v>12</v>
      </c>
      <c r="P1020" s="1143">
        <v>385000</v>
      </c>
      <c r="Q1020" s="1475">
        <v>12</v>
      </c>
      <c r="R1020" s="1143">
        <v>423500</v>
      </c>
      <c r="S1020" s="1475">
        <v>12</v>
      </c>
      <c r="T1020" s="1143">
        <v>465850</v>
      </c>
      <c r="U1020" s="1475">
        <v>12</v>
      </c>
      <c r="V1020" s="1143">
        <v>512435</v>
      </c>
      <c r="W1020" s="1447"/>
      <c r="X1020" s="173"/>
      <c r="Y1020" s="1474" t="s">
        <v>1154</v>
      </c>
    </row>
    <row r="1021" spans="2:25" ht="51" x14ac:dyDescent="0.25">
      <c r="B1021" s="2012"/>
      <c r="C1021" s="1478"/>
      <c r="D1021" s="1478"/>
      <c r="E1021" s="674"/>
      <c r="F1021" s="674"/>
      <c r="G1021" s="1476" t="s">
        <v>47</v>
      </c>
      <c r="H1021" s="1476" t="s">
        <v>596</v>
      </c>
      <c r="I1021" s="1473" t="s">
        <v>40</v>
      </c>
      <c r="J1021" s="1143"/>
      <c r="K1021" s="1475">
        <v>12</v>
      </c>
      <c r="L1021" s="1480">
        <v>11000</v>
      </c>
      <c r="M1021" s="161">
        <v>12</v>
      </c>
      <c r="N1021" s="1143">
        <v>15000</v>
      </c>
      <c r="O1021" s="863">
        <v>12</v>
      </c>
      <c r="P1021" s="1143">
        <v>16500</v>
      </c>
      <c r="Q1021" s="161">
        <v>12</v>
      </c>
      <c r="R1021" s="1143">
        <v>18150</v>
      </c>
      <c r="S1021" s="161">
        <v>12</v>
      </c>
      <c r="T1021" s="1143">
        <v>19965</v>
      </c>
      <c r="U1021" s="161">
        <v>12</v>
      </c>
      <c r="V1021" s="1143">
        <v>21961.5</v>
      </c>
      <c r="W1021" s="1447"/>
      <c r="X1021" s="173"/>
      <c r="Y1021" s="1474" t="s">
        <v>1154</v>
      </c>
    </row>
    <row r="1022" spans="2:25" ht="25.5" x14ac:dyDescent="0.25">
      <c r="B1022" s="2012"/>
      <c r="C1022" s="1478"/>
      <c r="D1022" s="1478"/>
      <c r="E1022" s="674"/>
      <c r="F1022" s="674"/>
      <c r="G1022" s="1476" t="s">
        <v>130</v>
      </c>
      <c r="H1022" s="1476" t="s">
        <v>598</v>
      </c>
      <c r="I1022" s="1473" t="s">
        <v>40</v>
      </c>
      <c r="J1022" s="1143"/>
      <c r="K1022" s="1475">
        <v>12</v>
      </c>
      <c r="L1022" s="1480">
        <v>50000</v>
      </c>
      <c r="M1022" s="161">
        <v>12</v>
      </c>
      <c r="N1022" s="1143">
        <v>78000</v>
      </c>
      <c r="O1022" s="863">
        <v>12</v>
      </c>
      <c r="P1022" s="1143">
        <v>85800</v>
      </c>
      <c r="Q1022" s="161">
        <v>12</v>
      </c>
      <c r="R1022" s="1143">
        <v>94380</v>
      </c>
      <c r="S1022" s="161">
        <v>12</v>
      </c>
      <c r="T1022" s="1143">
        <v>103818</v>
      </c>
      <c r="U1022" s="161">
        <v>12</v>
      </c>
      <c r="V1022" s="1143">
        <v>114199.8</v>
      </c>
      <c r="W1022" s="1447"/>
      <c r="X1022" s="173"/>
      <c r="Y1022" s="1474" t="s">
        <v>1154</v>
      </c>
    </row>
    <row r="1023" spans="2:25" ht="38.25" x14ac:dyDescent="0.25">
      <c r="B1023" s="2012"/>
      <c r="C1023" s="1478"/>
      <c r="D1023" s="1478"/>
      <c r="E1023" s="674"/>
      <c r="F1023" s="674"/>
      <c r="G1023" s="1476" t="s">
        <v>50</v>
      </c>
      <c r="H1023" s="1476" t="s">
        <v>580</v>
      </c>
      <c r="I1023" s="1473" t="s">
        <v>40</v>
      </c>
      <c r="J1023" s="1143"/>
      <c r="K1023" s="1475">
        <v>12</v>
      </c>
      <c r="L1023" s="1480">
        <v>82500</v>
      </c>
      <c r="M1023" s="161">
        <v>12</v>
      </c>
      <c r="N1023" s="1143">
        <v>75000</v>
      </c>
      <c r="O1023" s="863">
        <v>12</v>
      </c>
      <c r="P1023" s="1143">
        <v>82500</v>
      </c>
      <c r="Q1023" s="161">
        <v>12</v>
      </c>
      <c r="R1023" s="1143">
        <v>90750</v>
      </c>
      <c r="S1023" s="161">
        <v>12</v>
      </c>
      <c r="T1023" s="1143">
        <v>99825</v>
      </c>
      <c r="U1023" s="161">
        <v>12</v>
      </c>
      <c r="V1023" s="1143">
        <v>109807.5</v>
      </c>
      <c r="W1023" s="1447"/>
      <c r="X1023" s="173"/>
      <c r="Y1023" s="1474" t="s">
        <v>1154</v>
      </c>
    </row>
    <row r="1024" spans="2:25" ht="63.75" x14ac:dyDescent="0.25">
      <c r="B1024" s="2012"/>
      <c r="C1024" s="1478"/>
      <c r="D1024" s="1478"/>
      <c r="E1024" s="674"/>
      <c r="F1024" s="674"/>
      <c r="G1024" s="1476" t="s">
        <v>52</v>
      </c>
      <c r="H1024" s="1476" t="s">
        <v>600</v>
      </c>
      <c r="I1024" s="1473" t="s">
        <v>40</v>
      </c>
      <c r="J1024" s="1143"/>
      <c r="K1024" s="1475">
        <v>12</v>
      </c>
      <c r="L1024" s="1480">
        <v>82500</v>
      </c>
      <c r="M1024" s="161">
        <v>12</v>
      </c>
      <c r="N1024" s="1143">
        <v>75000</v>
      </c>
      <c r="O1024" s="863">
        <v>12</v>
      </c>
      <c r="P1024" s="1143">
        <v>82500</v>
      </c>
      <c r="Q1024" s="161">
        <v>12</v>
      </c>
      <c r="R1024" s="1143">
        <v>90750</v>
      </c>
      <c r="S1024" s="161">
        <v>12</v>
      </c>
      <c r="T1024" s="1143">
        <v>99825</v>
      </c>
      <c r="U1024" s="161">
        <v>12</v>
      </c>
      <c r="V1024" s="1143">
        <v>109807.5</v>
      </c>
      <c r="W1024" s="1447"/>
      <c r="X1024" s="173"/>
      <c r="Y1024" s="1474" t="s">
        <v>1154</v>
      </c>
    </row>
    <row r="1025" spans="2:25" ht="76.5" x14ac:dyDescent="0.25">
      <c r="B1025" s="2012"/>
      <c r="C1025" s="1478"/>
      <c r="D1025" s="1478"/>
      <c r="E1025" s="674"/>
      <c r="F1025" s="674"/>
      <c r="G1025" s="1476" t="s">
        <v>54</v>
      </c>
      <c r="H1025" s="1476" t="s">
        <v>602</v>
      </c>
      <c r="I1025" s="1473" t="s">
        <v>40</v>
      </c>
      <c r="J1025" s="1143"/>
      <c r="K1025" s="1475">
        <v>12</v>
      </c>
      <c r="L1025" s="1480">
        <v>16500</v>
      </c>
      <c r="M1025" s="161">
        <v>12</v>
      </c>
      <c r="N1025" s="1143">
        <v>15000</v>
      </c>
      <c r="O1025" s="1480">
        <v>12</v>
      </c>
      <c r="P1025" s="1143">
        <v>16500</v>
      </c>
      <c r="Q1025" s="161">
        <v>12</v>
      </c>
      <c r="R1025" s="1143">
        <v>18150</v>
      </c>
      <c r="S1025" s="161">
        <v>12</v>
      </c>
      <c r="T1025" s="1143">
        <v>19965</v>
      </c>
      <c r="U1025" s="161">
        <v>12</v>
      </c>
      <c r="V1025" s="1143">
        <v>21961.5</v>
      </c>
      <c r="W1025" s="1447"/>
      <c r="X1025" s="173"/>
      <c r="Y1025" s="1474" t="s">
        <v>1154</v>
      </c>
    </row>
    <row r="1026" spans="2:25" ht="76.5" x14ac:dyDescent="0.25">
      <c r="B1026" s="2012"/>
      <c r="C1026" s="1478"/>
      <c r="D1026" s="1478"/>
      <c r="E1026" s="674"/>
      <c r="F1026" s="674"/>
      <c r="G1026" s="1476" t="s">
        <v>56</v>
      </c>
      <c r="H1026" s="1476" t="s">
        <v>603</v>
      </c>
      <c r="I1026" s="1473" t="s">
        <v>40</v>
      </c>
      <c r="J1026" s="1143"/>
      <c r="K1026" s="1475">
        <v>12</v>
      </c>
      <c r="L1026" s="1480">
        <v>20000</v>
      </c>
      <c r="M1026" s="161">
        <v>12</v>
      </c>
      <c r="N1026" s="1143">
        <v>15000</v>
      </c>
      <c r="O1026" s="863">
        <v>12</v>
      </c>
      <c r="P1026" s="1143">
        <v>16500</v>
      </c>
      <c r="Q1026" s="161">
        <v>12</v>
      </c>
      <c r="R1026" s="1143">
        <v>18150</v>
      </c>
      <c r="S1026" s="161">
        <v>12</v>
      </c>
      <c r="T1026" s="1143">
        <v>19965</v>
      </c>
      <c r="U1026" s="161">
        <v>12</v>
      </c>
      <c r="V1026" s="1143">
        <v>21961.5</v>
      </c>
      <c r="W1026" s="1447"/>
      <c r="X1026" s="173"/>
      <c r="Y1026" s="1474" t="s">
        <v>1154</v>
      </c>
    </row>
    <row r="1027" spans="2:25" ht="51" x14ac:dyDescent="0.25">
      <c r="B1027" s="2012"/>
      <c r="C1027" s="1478"/>
      <c r="D1027" s="1478"/>
      <c r="E1027" s="674"/>
      <c r="F1027" s="674"/>
      <c r="G1027" s="1476" t="s">
        <v>58</v>
      </c>
      <c r="H1027" s="1476" t="s">
        <v>605</v>
      </c>
      <c r="I1027" s="1473" t="s">
        <v>40</v>
      </c>
      <c r="J1027" s="1143"/>
      <c r="K1027" s="1475">
        <v>12</v>
      </c>
      <c r="L1027" s="1480">
        <v>110000</v>
      </c>
      <c r="M1027" s="161">
        <v>12</v>
      </c>
      <c r="N1027" s="1143">
        <v>120000</v>
      </c>
      <c r="O1027" s="863">
        <v>12</v>
      </c>
      <c r="P1027" s="1143">
        <v>132000</v>
      </c>
      <c r="Q1027" s="161">
        <v>12</v>
      </c>
      <c r="R1027" s="1143">
        <v>145200</v>
      </c>
      <c r="S1027" s="161">
        <v>12</v>
      </c>
      <c r="T1027" s="1143">
        <v>159720</v>
      </c>
      <c r="U1027" s="161">
        <v>12</v>
      </c>
      <c r="V1027" s="1143">
        <v>175692</v>
      </c>
      <c r="W1027" s="1447"/>
      <c r="X1027" s="173"/>
      <c r="Y1027" s="1474" t="s">
        <v>1154</v>
      </c>
    </row>
    <row r="1028" spans="2:25" ht="63.75" x14ac:dyDescent="0.25">
      <c r="B1028" s="2012"/>
      <c r="C1028" s="1478"/>
      <c r="D1028" s="1478"/>
      <c r="E1028" s="674"/>
      <c r="F1028" s="674"/>
      <c r="G1028" s="1476" t="s">
        <v>137</v>
      </c>
      <c r="H1028" s="1476" t="s">
        <v>607</v>
      </c>
      <c r="I1028" s="1473" t="s">
        <v>40</v>
      </c>
      <c r="J1028" s="1143"/>
      <c r="K1028" s="1475">
        <v>12</v>
      </c>
      <c r="L1028" s="1480">
        <v>125000</v>
      </c>
      <c r="M1028" s="161">
        <v>12</v>
      </c>
      <c r="N1028" s="1143">
        <v>150000</v>
      </c>
      <c r="O1028" s="1480">
        <v>12</v>
      </c>
      <c r="P1028" s="1143">
        <v>165000</v>
      </c>
      <c r="Q1028" s="161">
        <v>12</v>
      </c>
      <c r="R1028" s="1143">
        <v>181500</v>
      </c>
      <c r="S1028" s="161">
        <v>12</v>
      </c>
      <c r="T1028" s="1143">
        <v>199650</v>
      </c>
      <c r="U1028" s="161">
        <v>12</v>
      </c>
      <c r="V1028" s="1143">
        <v>219615</v>
      </c>
      <c r="W1028" s="1447"/>
      <c r="X1028" s="173"/>
      <c r="Y1028" s="1474" t="s">
        <v>1154</v>
      </c>
    </row>
    <row r="1029" spans="2:25" ht="63.75" x14ac:dyDescent="0.25">
      <c r="B1029" s="2012"/>
      <c r="C1029" s="1478"/>
      <c r="D1029" s="1478"/>
      <c r="E1029" s="674"/>
      <c r="F1029" s="674"/>
      <c r="G1029" s="1476" t="s">
        <v>139</v>
      </c>
      <c r="H1029" s="1476" t="s">
        <v>609</v>
      </c>
      <c r="I1029" s="1473" t="s">
        <v>40</v>
      </c>
      <c r="J1029" s="1143"/>
      <c r="K1029" s="1475">
        <v>12</v>
      </c>
      <c r="L1029" s="1480">
        <v>15000</v>
      </c>
      <c r="M1029" s="161">
        <v>12</v>
      </c>
      <c r="N1029" s="1143">
        <v>15000</v>
      </c>
      <c r="O1029" s="863">
        <v>12</v>
      </c>
      <c r="P1029" s="1143">
        <v>16500</v>
      </c>
      <c r="Q1029" s="161">
        <v>12</v>
      </c>
      <c r="R1029" s="1143">
        <v>18150</v>
      </c>
      <c r="S1029" s="161">
        <v>12</v>
      </c>
      <c r="T1029" s="1143">
        <v>19965</v>
      </c>
      <c r="U1029" s="161">
        <v>12</v>
      </c>
      <c r="V1029" s="1143">
        <v>21961.5</v>
      </c>
      <c r="W1029" s="1447"/>
      <c r="X1029" s="173"/>
      <c r="Y1029" s="1474" t="s">
        <v>1154</v>
      </c>
    </row>
    <row r="1030" spans="2:25" ht="63.75" x14ac:dyDescent="0.25">
      <c r="B1030" s="2012"/>
      <c r="C1030" s="1478"/>
      <c r="D1030" s="1478"/>
      <c r="E1030" s="674"/>
      <c r="F1030" s="674"/>
      <c r="G1030" s="1476" t="s">
        <v>65</v>
      </c>
      <c r="H1030" s="173" t="s">
        <v>656</v>
      </c>
      <c r="I1030" s="1473" t="s">
        <v>19</v>
      </c>
      <c r="J1030" s="1143">
        <v>100</v>
      </c>
      <c r="K1030" s="1475">
        <v>28</v>
      </c>
      <c r="L1030" s="1143">
        <f>SUM(L1031:L1055)</f>
        <v>4378500</v>
      </c>
      <c r="M1030" s="1715">
        <v>52</v>
      </c>
      <c r="N1030" s="1143">
        <f>SUM(N1031:N1055)</f>
        <v>4484000</v>
      </c>
      <c r="O1030" s="1480">
        <v>5</v>
      </c>
      <c r="P1030" s="1143">
        <f>SUM(P1031:P1055)</f>
        <v>1150000</v>
      </c>
      <c r="Q1030" s="1143">
        <v>5</v>
      </c>
      <c r="R1030" s="1143">
        <f>SUM(R1031:R1055)</f>
        <v>989000</v>
      </c>
      <c r="S1030" s="1143">
        <v>5</v>
      </c>
      <c r="T1030" s="1143">
        <f>SUM(T1031:T1055)</f>
        <v>1031900</v>
      </c>
      <c r="U1030" s="1143">
        <v>5</v>
      </c>
      <c r="V1030" s="1143">
        <f>SUM(V1031:V1055)</f>
        <v>1079090</v>
      </c>
      <c r="W1030" s="1447">
        <f>K1030+M1030+O1030+Q1030+S1030+U1030</f>
        <v>100</v>
      </c>
      <c r="X1030" s="173"/>
      <c r="Y1030" s="1474" t="s">
        <v>1154</v>
      </c>
    </row>
    <row r="1031" spans="2:25" ht="51" x14ac:dyDescent="0.25">
      <c r="B1031" s="2012"/>
      <c r="C1031" s="1478"/>
      <c r="D1031" s="1478"/>
      <c r="E1031" s="674"/>
      <c r="F1031" s="674"/>
      <c r="G1031" s="1476" t="s">
        <v>142</v>
      </c>
      <c r="H1031" s="1476" t="s">
        <v>657</v>
      </c>
      <c r="I1031" s="1473" t="s">
        <v>75</v>
      </c>
      <c r="J1031" s="1143"/>
      <c r="K1031" s="1475">
        <v>14</v>
      </c>
      <c r="L1031" s="1480">
        <v>3274000</v>
      </c>
      <c r="M1031" s="1143">
        <v>38</v>
      </c>
      <c r="N1031" s="1143">
        <v>3364000</v>
      </c>
      <c r="O1031" s="1480">
        <v>5</v>
      </c>
      <c r="P1031" s="1143">
        <v>260000</v>
      </c>
      <c r="Q1031" s="1143">
        <v>4</v>
      </c>
      <c r="R1031" s="1143">
        <v>60000</v>
      </c>
      <c r="S1031" s="1143">
        <v>4</v>
      </c>
      <c r="T1031" s="1143">
        <v>60000</v>
      </c>
      <c r="U1031" s="1143">
        <v>4</v>
      </c>
      <c r="V1031" s="1143">
        <v>60000</v>
      </c>
      <c r="W1031" s="1447"/>
      <c r="X1031" s="173"/>
      <c r="Y1031" s="1474" t="s">
        <v>1154</v>
      </c>
    </row>
    <row r="1032" spans="2:25" ht="38.25" x14ac:dyDescent="0.25">
      <c r="B1032" s="2012"/>
      <c r="C1032" s="1478"/>
      <c r="D1032" s="1478"/>
      <c r="E1032" s="674"/>
      <c r="F1032" s="674"/>
      <c r="G1032" s="673" t="s">
        <v>144</v>
      </c>
      <c r="H1032" s="1476" t="s">
        <v>658</v>
      </c>
      <c r="I1032" s="1473" t="s">
        <v>69</v>
      </c>
      <c r="J1032" s="1143"/>
      <c r="K1032" s="1475">
        <v>3</v>
      </c>
      <c r="L1032" s="1480">
        <v>505000</v>
      </c>
      <c r="M1032" s="1143">
        <v>2</v>
      </c>
      <c r="N1032" s="1143">
        <v>400000</v>
      </c>
      <c r="O1032" s="1480">
        <v>2</v>
      </c>
      <c r="P1032" s="1143">
        <v>150000</v>
      </c>
      <c r="Q1032" s="1143">
        <v>2</v>
      </c>
      <c r="R1032" s="1143">
        <v>165000</v>
      </c>
      <c r="S1032" s="161">
        <v>3</v>
      </c>
      <c r="T1032" s="1143">
        <v>181500</v>
      </c>
      <c r="U1032" s="161">
        <v>3</v>
      </c>
      <c r="V1032" s="1143">
        <v>199650</v>
      </c>
      <c r="W1032" s="1447"/>
      <c r="X1032" s="1143"/>
      <c r="Y1032" s="1474" t="s">
        <v>1154</v>
      </c>
    </row>
    <row r="1033" spans="2:25" x14ac:dyDescent="0.25">
      <c r="B1033" s="2012"/>
      <c r="C1033" s="1478"/>
      <c r="D1033" s="1478"/>
      <c r="E1033" s="674"/>
      <c r="F1033" s="674"/>
      <c r="G1033" s="674"/>
      <c r="H1033" s="1476" t="s">
        <v>659</v>
      </c>
      <c r="I1033" s="1473" t="s">
        <v>660</v>
      </c>
      <c r="J1033" s="1143"/>
      <c r="K1033" s="1475">
        <v>324</v>
      </c>
      <c r="L1033" s="1480">
        <v>0</v>
      </c>
      <c r="M1033" s="1143"/>
      <c r="N1033" s="1143">
        <v>0</v>
      </c>
      <c r="O1033" s="1480"/>
      <c r="P1033" s="1143">
        <v>0</v>
      </c>
      <c r="Q1033" s="1143"/>
      <c r="R1033" s="1143">
        <v>0</v>
      </c>
      <c r="S1033" s="161"/>
      <c r="T1033" s="1143">
        <v>0</v>
      </c>
      <c r="U1033" s="161"/>
      <c r="V1033" s="1143">
        <v>0</v>
      </c>
      <c r="W1033" s="1447"/>
      <c r="X1033" s="1143"/>
      <c r="Y1033" s="1474" t="s">
        <v>1154</v>
      </c>
    </row>
    <row r="1034" spans="2:25" x14ac:dyDescent="0.25">
      <c r="B1034" s="2012"/>
      <c r="C1034" s="1478"/>
      <c r="D1034" s="1478"/>
      <c r="E1034" s="674"/>
      <c r="F1034" s="674"/>
      <c r="G1034" s="674"/>
      <c r="H1034" s="1476" t="s">
        <v>661</v>
      </c>
      <c r="I1034" s="1473" t="s">
        <v>75</v>
      </c>
      <c r="J1034" s="1143"/>
      <c r="K1034" s="1475">
        <v>2</v>
      </c>
      <c r="L1034" s="1480">
        <v>0</v>
      </c>
      <c r="M1034" s="1143">
        <v>3</v>
      </c>
      <c r="N1034" s="1143">
        <v>0</v>
      </c>
      <c r="O1034" s="1480">
        <v>2</v>
      </c>
      <c r="P1034" s="1143">
        <v>0</v>
      </c>
      <c r="Q1034" s="1143">
        <v>1</v>
      </c>
      <c r="R1034" s="1143">
        <v>0</v>
      </c>
      <c r="S1034" s="161">
        <v>2</v>
      </c>
      <c r="T1034" s="1143">
        <v>0</v>
      </c>
      <c r="U1034" s="161">
        <v>2</v>
      </c>
      <c r="V1034" s="1143">
        <v>0</v>
      </c>
      <c r="W1034" s="1447"/>
      <c r="X1034" s="1143"/>
      <c r="Y1034" s="1474" t="s">
        <v>1154</v>
      </c>
    </row>
    <row r="1035" spans="2:25" x14ac:dyDescent="0.25">
      <c r="B1035" s="2012"/>
      <c r="C1035" s="1478"/>
      <c r="D1035" s="1478"/>
      <c r="E1035" s="674"/>
      <c r="F1035" s="674"/>
      <c r="G1035" s="674"/>
      <c r="H1035" s="1476" t="s">
        <v>662</v>
      </c>
      <c r="I1035" s="1473" t="s">
        <v>663</v>
      </c>
      <c r="J1035" s="1143"/>
      <c r="K1035" s="1475"/>
      <c r="L1035" s="1480">
        <v>0</v>
      </c>
      <c r="M1035" s="1143"/>
      <c r="N1035" s="1143">
        <v>0</v>
      </c>
      <c r="O1035" s="1480"/>
      <c r="P1035" s="1143">
        <v>0</v>
      </c>
      <c r="Q1035" s="1143">
        <v>1</v>
      </c>
      <c r="R1035" s="1143">
        <v>0</v>
      </c>
      <c r="S1035" s="161"/>
      <c r="T1035" s="1143">
        <v>0</v>
      </c>
      <c r="U1035" s="161"/>
      <c r="V1035" s="1143">
        <v>0</v>
      </c>
      <c r="W1035" s="1447"/>
      <c r="X1035" s="1143"/>
      <c r="Y1035" s="1474" t="s">
        <v>1154</v>
      </c>
    </row>
    <row r="1036" spans="2:25" x14ac:dyDescent="0.25">
      <c r="B1036" s="2012"/>
      <c r="C1036" s="1478"/>
      <c r="D1036" s="1478"/>
      <c r="E1036" s="674"/>
      <c r="F1036" s="674"/>
      <c r="G1036" s="674"/>
      <c r="H1036" s="1476" t="s">
        <v>664</v>
      </c>
      <c r="I1036" s="1473" t="s">
        <v>75</v>
      </c>
      <c r="J1036" s="1143"/>
      <c r="K1036" s="1475"/>
      <c r="L1036" s="1480">
        <v>0</v>
      </c>
      <c r="M1036" s="1143">
        <v>1</v>
      </c>
      <c r="N1036" s="1143">
        <v>0</v>
      </c>
      <c r="O1036" s="1480"/>
      <c r="P1036" s="1143">
        <v>0</v>
      </c>
      <c r="Q1036" s="1143"/>
      <c r="R1036" s="1143">
        <v>0</v>
      </c>
      <c r="S1036" s="161"/>
      <c r="T1036" s="1143">
        <v>0</v>
      </c>
      <c r="U1036" s="161"/>
      <c r="V1036" s="1143">
        <v>0</v>
      </c>
      <c r="W1036" s="1447"/>
      <c r="X1036" s="1143"/>
      <c r="Y1036" s="1474" t="s">
        <v>1154</v>
      </c>
    </row>
    <row r="1037" spans="2:25" ht="25.5" x14ac:dyDescent="0.25">
      <c r="B1037" s="2012"/>
      <c r="C1037" s="1478"/>
      <c r="D1037" s="1478"/>
      <c r="E1037" s="674"/>
      <c r="F1037" s="674"/>
      <c r="G1037" s="675"/>
      <c r="H1037" s="1476" t="s">
        <v>665</v>
      </c>
      <c r="I1037" s="1473" t="s">
        <v>69</v>
      </c>
      <c r="J1037" s="1143"/>
      <c r="K1037" s="1475">
        <v>1</v>
      </c>
      <c r="L1037" s="1480">
        <v>0</v>
      </c>
      <c r="M1037" s="1143"/>
      <c r="N1037" s="1143">
        <v>0</v>
      </c>
      <c r="O1037" s="1480">
        <v>1</v>
      </c>
      <c r="P1037" s="1143">
        <v>0</v>
      </c>
      <c r="Q1037" s="1143"/>
      <c r="R1037" s="1143">
        <v>0</v>
      </c>
      <c r="S1037" s="161">
        <v>1</v>
      </c>
      <c r="T1037" s="1143">
        <v>0</v>
      </c>
      <c r="U1037" s="161">
        <v>1</v>
      </c>
      <c r="V1037" s="1143">
        <v>0</v>
      </c>
      <c r="W1037" s="1447"/>
      <c r="X1037" s="1143"/>
      <c r="Y1037" s="1474" t="s">
        <v>1154</v>
      </c>
    </row>
    <row r="1038" spans="2:25" ht="38.25" x14ac:dyDescent="0.25">
      <c r="B1038" s="2012"/>
      <c r="C1038" s="1478"/>
      <c r="D1038" s="1478"/>
      <c r="E1038" s="674"/>
      <c r="F1038" s="674"/>
      <c r="G1038" s="673" t="s">
        <v>149</v>
      </c>
      <c r="H1038" s="1476" t="s">
        <v>666</v>
      </c>
      <c r="I1038" s="1473" t="s">
        <v>69</v>
      </c>
      <c r="J1038" s="1143"/>
      <c r="K1038" s="1475"/>
      <c r="L1038" s="857">
        <v>379000</v>
      </c>
      <c r="M1038" s="1143"/>
      <c r="N1038" s="857">
        <v>400000</v>
      </c>
      <c r="O1038" s="1480"/>
      <c r="P1038" s="857">
        <v>400000</v>
      </c>
      <c r="Q1038" s="1143"/>
      <c r="R1038" s="857">
        <v>400000</v>
      </c>
      <c r="S1038" s="1143"/>
      <c r="T1038" s="857">
        <v>400000</v>
      </c>
      <c r="U1038" s="1143"/>
      <c r="V1038" s="857">
        <v>400000</v>
      </c>
      <c r="W1038" s="1447"/>
      <c r="X1038" s="173"/>
      <c r="Y1038" s="1474" t="s">
        <v>1154</v>
      </c>
    </row>
    <row r="1039" spans="2:25" x14ac:dyDescent="0.25">
      <c r="B1039" s="2012"/>
      <c r="C1039" s="1478"/>
      <c r="D1039" s="1478"/>
      <c r="E1039" s="674"/>
      <c r="F1039" s="674"/>
      <c r="G1039" s="674"/>
      <c r="H1039" s="1476" t="s">
        <v>667</v>
      </c>
      <c r="I1039" s="1473" t="s">
        <v>75</v>
      </c>
      <c r="J1039" s="1143"/>
      <c r="K1039" s="1475">
        <v>0</v>
      </c>
      <c r="L1039" s="858">
        <v>0</v>
      </c>
      <c r="M1039" s="1143">
        <v>0</v>
      </c>
      <c r="N1039" s="858">
        <v>0</v>
      </c>
      <c r="O1039" s="1480">
        <v>0</v>
      </c>
      <c r="P1039" s="858">
        <v>0</v>
      </c>
      <c r="Q1039" s="1143">
        <v>4</v>
      </c>
      <c r="R1039" s="858">
        <v>0</v>
      </c>
      <c r="S1039" s="1143">
        <v>0</v>
      </c>
      <c r="T1039" s="858">
        <v>0</v>
      </c>
      <c r="U1039" s="1143">
        <v>0</v>
      </c>
      <c r="V1039" s="858">
        <v>0</v>
      </c>
      <c r="W1039" s="1447"/>
      <c r="X1039" s="173"/>
      <c r="Y1039" s="1474" t="s">
        <v>1154</v>
      </c>
    </row>
    <row r="1040" spans="2:25" x14ac:dyDescent="0.25">
      <c r="B1040" s="2012"/>
      <c r="C1040" s="1478"/>
      <c r="D1040" s="1478"/>
      <c r="E1040" s="674"/>
      <c r="F1040" s="674"/>
      <c r="G1040" s="674"/>
      <c r="H1040" s="1476" t="s">
        <v>668</v>
      </c>
      <c r="I1040" s="1473" t="s">
        <v>75</v>
      </c>
      <c r="J1040" s="1143"/>
      <c r="K1040" s="1475">
        <v>10</v>
      </c>
      <c r="L1040" s="858">
        <v>0</v>
      </c>
      <c r="M1040" s="1143">
        <v>15</v>
      </c>
      <c r="N1040" s="858">
        <v>0</v>
      </c>
      <c r="O1040" s="1480">
        <v>0</v>
      </c>
      <c r="P1040" s="858">
        <v>0</v>
      </c>
      <c r="Q1040" s="1143">
        <v>10</v>
      </c>
      <c r="R1040" s="858">
        <v>0</v>
      </c>
      <c r="S1040" s="1143">
        <v>15</v>
      </c>
      <c r="T1040" s="858">
        <v>0</v>
      </c>
      <c r="U1040" s="1143">
        <v>15</v>
      </c>
      <c r="V1040" s="858">
        <v>0</v>
      </c>
      <c r="W1040" s="1447"/>
      <c r="X1040" s="173"/>
      <c r="Y1040" s="1474" t="s">
        <v>1154</v>
      </c>
    </row>
    <row r="1041" spans="2:25" x14ac:dyDescent="0.25">
      <c r="B1041" s="2012"/>
      <c r="C1041" s="1478"/>
      <c r="D1041" s="1478"/>
      <c r="E1041" s="674"/>
      <c r="F1041" s="674"/>
      <c r="G1041" s="674"/>
      <c r="H1041" s="1476" t="s">
        <v>669</v>
      </c>
      <c r="I1041" s="1473" t="s">
        <v>75</v>
      </c>
      <c r="J1041" s="1143"/>
      <c r="K1041" s="1475">
        <v>4</v>
      </c>
      <c r="L1041" s="858">
        <v>0</v>
      </c>
      <c r="M1041" s="1143">
        <v>4</v>
      </c>
      <c r="N1041" s="858">
        <v>0</v>
      </c>
      <c r="O1041" s="1480">
        <v>2</v>
      </c>
      <c r="P1041" s="858">
        <v>0</v>
      </c>
      <c r="Q1041" s="1143">
        <v>15</v>
      </c>
      <c r="R1041" s="858">
        <v>0</v>
      </c>
      <c r="S1041" s="1143">
        <v>15</v>
      </c>
      <c r="T1041" s="858">
        <v>0</v>
      </c>
      <c r="U1041" s="1143">
        <v>15</v>
      </c>
      <c r="V1041" s="858">
        <v>0</v>
      </c>
      <c r="W1041" s="1447"/>
      <c r="X1041" s="173"/>
      <c r="Y1041" s="1474" t="s">
        <v>1154</v>
      </c>
    </row>
    <row r="1042" spans="2:25" x14ac:dyDescent="0.25">
      <c r="B1042" s="2012"/>
      <c r="C1042" s="1478"/>
      <c r="D1042" s="1478"/>
      <c r="E1042" s="674"/>
      <c r="F1042" s="674"/>
      <c r="G1042" s="674"/>
      <c r="H1042" s="1476" t="s">
        <v>670</v>
      </c>
      <c r="I1042" s="1473" t="s">
        <v>75</v>
      </c>
      <c r="J1042" s="1143"/>
      <c r="K1042" s="1475">
        <v>1</v>
      </c>
      <c r="L1042" s="858">
        <v>0</v>
      </c>
      <c r="M1042" s="1143">
        <v>2</v>
      </c>
      <c r="N1042" s="858">
        <v>0</v>
      </c>
      <c r="O1042" s="1480">
        <v>0</v>
      </c>
      <c r="P1042" s="858">
        <v>0</v>
      </c>
      <c r="Q1042" s="1143">
        <v>2</v>
      </c>
      <c r="R1042" s="858">
        <v>0</v>
      </c>
      <c r="S1042" s="1143">
        <v>2</v>
      </c>
      <c r="T1042" s="858">
        <v>0</v>
      </c>
      <c r="U1042" s="1143">
        <v>2</v>
      </c>
      <c r="V1042" s="858">
        <v>0</v>
      </c>
      <c r="W1042" s="1447"/>
      <c r="X1042" s="173"/>
      <c r="Y1042" s="1474" t="s">
        <v>1154</v>
      </c>
    </row>
    <row r="1043" spans="2:25" x14ac:dyDescent="0.25">
      <c r="B1043" s="2012"/>
      <c r="C1043" s="1478"/>
      <c r="D1043" s="1478"/>
      <c r="E1043" s="674"/>
      <c r="F1043" s="674"/>
      <c r="G1043" s="674"/>
      <c r="H1043" s="1476" t="s">
        <v>671</v>
      </c>
      <c r="I1043" s="1473" t="s">
        <v>75</v>
      </c>
      <c r="J1043" s="1143"/>
      <c r="K1043" s="1475">
        <v>1</v>
      </c>
      <c r="L1043" s="858">
        <v>0</v>
      </c>
      <c r="M1043" s="1143">
        <v>0</v>
      </c>
      <c r="N1043" s="858">
        <v>0</v>
      </c>
      <c r="O1043" s="1480">
        <v>0</v>
      </c>
      <c r="P1043" s="858">
        <v>0</v>
      </c>
      <c r="Q1043" s="1143">
        <v>0</v>
      </c>
      <c r="R1043" s="858">
        <v>0</v>
      </c>
      <c r="S1043" s="1143">
        <v>0</v>
      </c>
      <c r="T1043" s="858">
        <v>0</v>
      </c>
      <c r="U1043" s="1143">
        <v>0</v>
      </c>
      <c r="V1043" s="858">
        <v>0</v>
      </c>
      <c r="W1043" s="1447"/>
      <c r="X1043" s="173"/>
      <c r="Y1043" s="1474" t="s">
        <v>1154</v>
      </c>
    </row>
    <row r="1044" spans="2:25" x14ac:dyDescent="0.25">
      <c r="B1044" s="2012"/>
      <c r="C1044" s="1478"/>
      <c r="D1044" s="1478"/>
      <c r="E1044" s="674"/>
      <c r="F1044" s="674"/>
      <c r="G1044" s="674"/>
      <c r="H1044" s="1476" t="s">
        <v>672</v>
      </c>
      <c r="I1044" s="1473" t="s">
        <v>75</v>
      </c>
      <c r="J1044" s="1143"/>
      <c r="K1044" s="1475">
        <v>10</v>
      </c>
      <c r="L1044" s="858">
        <v>0</v>
      </c>
      <c r="M1044" s="1143">
        <v>15</v>
      </c>
      <c r="N1044" s="858">
        <v>0</v>
      </c>
      <c r="O1044" s="1480">
        <v>10</v>
      </c>
      <c r="P1044" s="858">
        <v>0</v>
      </c>
      <c r="Q1044" s="1143">
        <v>15</v>
      </c>
      <c r="R1044" s="858">
        <v>0</v>
      </c>
      <c r="S1044" s="1143">
        <v>10</v>
      </c>
      <c r="T1044" s="858">
        <v>0</v>
      </c>
      <c r="U1044" s="1143">
        <v>10</v>
      </c>
      <c r="V1044" s="858">
        <v>0</v>
      </c>
      <c r="W1044" s="1447"/>
      <c r="X1044" s="173"/>
      <c r="Y1044" s="1474" t="s">
        <v>1154</v>
      </c>
    </row>
    <row r="1045" spans="2:25" ht="25.5" x14ac:dyDescent="0.25">
      <c r="B1045" s="2012"/>
      <c r="C1045" s="1478"/>
      <c r="D1045" s="1478"/>
      <c r="E1045" s="674"/>
      <c r="F1045" s="674"/>
      <c r="G1045" s="675"/>
      <c r="H1045" s="1476" t="s">
        <v>673</v>
      </c>
      <c r="I1045" s="1473" t="s">
        <v>69</v>
      </c>
      <c r="J1045" s="1143"/>
      <c r="K1045" s="1475">
        <v>0</v>
      </c>
      <c r="L1045" s="859">
        <v>0</v>
      </c>
      <c r="M1045" s="1143">
        <v>0</v>
      </c>
      <c r="N1045" s="859">
        <v>0</v>
      </c>
      <c r="O1045" s="1480">
        <v>1</v>
      </c>
      <c r="P1045" s="859">
        <v>0</v>
      </c>
      <c r="Q1045" s="1143">
        <v>0</v>
      </c>
      <c r="R1045" s="859">
        <v>0</v>
      </c>
      <c r="S1045" s="1143">
        <v>0</v>
      </c>
      <c r="T1045" s="859">
        <v>0</v>
      </c>
      <c r="U1045" s="1143">
        <v>0</v>
      </c>
      <c r="V1045" s="859">
        <v>0</v>
      </c>
      <c r="W1045" s="1447"/>
      <c r="X1045" s="173"/>
      <c r="Y1045" s="1474" t="s">
        <v>1154</v>
      </c>
    </row>
    <row r="1046" spans="2:25" ht="51" x14ac:dyDescent="0.25">
      <c r="B1046" s="2012"/>
      <c r="C1046" s="1478"/>
      <c r="D1046" s="1478"/>
      <c r="E1046" s="674"/>
      <c r="F1046" s="674"/>
      <c r="G1046" s="673" t="s">
        <v>158</v>
      </c>
      <c r="H1046" s="1476" t="s">
        <v>674</v>
      </c>
      <c r="I1046" s="1473" t="s">
        <v>69</v>
      </c>
      <c r="J1046" s="1143"/>
      <c r="K1046" s="1475"/>
      <c r="L1046" s="857">
        <v>52500</v>
      </c>
      <c r="M1046" s="1143"/>
      <c r="N1046" s="857">
        <v>100000</v>
      </c>
      <c r="O1046" s="1480"/>
      <c r="P1046" s="857">
        <v>100000</v>
      </c>
      <c r="Q1046" s="1143"/>
      <c r="R1046" s="857">
        <v>100000</v>
      </c>
      <c r="S1046" s="1143"/>
      <c r="T1046" s="857">
        <v>100000</v>
      </c>
      <c r="U1046" s="1143"/>
      <c r="V1046" s="857">
        <v>100000</v>
      </c>
      <c r="W1046" s="1447"/>
      <c r="X1046" s="173"/>
      <c r="Y1046" s="1474" t="s">
        <v>1154</v>
      </c>
    </row>
    <row r="1047" spans="2:25" x14ac:dyDescent="0.25">
      <c r="B1047" s="2012"/>
      <c r="C1047" s="1478"/>
      <c r="D1047" s="1478"/>
      <c r="E1047" s="674"/>
      <c r="F1047" s="674"/>
      <c r="G1047" s="674"/>
      <c r="H1047" s="1476" t="s">
        <v>675</v>
      </c>
      <c r="I1047" s="1473" t="s">
        <v>75</v>
      </c>
      <c r="J1047" s="1143"/>
      <c r="K1047" s="1475">
        <v>15</v>
      </c>
      <c r="L1047" s="858">
        <v>0</v>
      </c>
      <c r="M1047" s="1143">
        <v>10</v>
      </c>
      <c r="N1047" s="858">
        <v>0</v>
      </c>
      <c r="O1047" s="1480"/>
      <c r="P1047" s="858">
        <v>0</v>
      </c>
      <c r="Q1047" s="1143"/>
      <c r="R1047" s="858">
        <v>0</v>
      </c>
      <c r="S1047" s="1143">
        <v>10</v>
      </c>
      <c r="T1047" s="858">
        <v>0</v>
      </c>
      <c r="U1047" s="1143">
        <v>10</v>
      </c>
      <c r="V1047" s="858">
        <v>0</v>
      </c>
      <c r="W1047" s="1447"/>
      <c r="X1047" s="173"/>
      <c r="Y1047" s="1474" t="s">
        <v>1154</v>
      </c>
    </row>
    <row r="1048" spans="2:25" x14ac:dyDescent="0.25">
      <c r="B1048" s="2012"/>
      <c r="C1048" s="1478"/>
      <c r="D1048" s="1478"/>
      <c r="E1048" s="674"/>
      <c r="F1048" s="674"/>
      <c r="G1048" s="674"/>
      <c r="H1048" s="1476" t="s">
        <v>676</v>
      </c>
      <c r="I1048" s="1473" t="s">
        <v>75</v>
      </c>
      <c r="J1048" s="1143"/>
      <c r="K1048" s="1475">
        <v>12</v>
      </c>
      <c r="L1048" s="858">
        <v>0</v>
      </c>
      <c r="M1048" s="1143">
        <v>5</v>
      </c>
      <c r="N1048" s="858">
        <v>0</v>
      </c>
      <c r="O1048" s="1480"/>
      <c r="P1048" s="858">
        <v>0</v>
      </c>
      <c r="Q1048" s="1143">
        <v>25</v>
      </c>
      <c r="R1048" s="858">
        <v>0</v>
      </c>
      <c r="S1048" s="1143"/>
      <c r="T1048" s="858">
        <v>0</v>
      </c>
      <c r="U1048" s="1143"/>
      <c r="V1048" s="858">
        <v>0</v>
      </c>
      <c r="W1048" s="1447"/>
      <c r="X1048" s="173"/>
      <c r="Y1048" s="1474" t="s">
        <v>1154</v>
      </c>
    </row>
    <row r="1049" spans="2:25" x14ac:dyDescent="0.25">
      <c r="B1049" s="2012"/>
      <c r="C1049" s="1478"/>
      <c r="D1049" s="1478"/>
      <c r="E1049" s="674"/>
      <c r="F1049" s="674"/>
      <c r="G1049" s="674"/>
      <c r="H1049" s="1476" t="s">
        <v>677</v>
      </c>
      <c r="I1049" s="1473" t="s">
        <v>322</v>
      </c>
      <c r="J1049" s="1143"/>
      <c r="K1049" s="1475"/>
      <c r="L1049" s="858">
        <v>0</v>
      </c>
      <c r="M1049" s="1143"/>
      <c r="N1049" s="858">
        <v>0</v>
      </c>
      <c r="O1049" s="1480"/>
      <c r="P1049" s="858">
        <v>0</v>
      </c>
      <c r="Q1049" s="1143">
        <v>5</v>
      </c>
      <c r="R1049" s="858">
        <v>0</v>
      </c>
      <c r="S1049" s="1143"/>
      <c r="T1049" s="858">
        <v>0</v>
      </c>
      <c r="U1049" s="1143"/>
      <c r="V1049" s="858">
        <v>0</v>
      </c>
      <c r="W1049" s="1447"/>
      <c r="X1049" s="173"/>
      <c r="Y1049" s="1474" t="s">
        <v>1154</v>
      </c>
    </row>
    <row r="1050" spans="2:25" ht="38.25" x14ac:dyDescent="0.25">
      <c r="B1050" s="2012"/>
      <c r="C1050" s="1478"/>
      <c r="D1050" s="1478"/>
      <c r="E1050" s="674"/>
      <c r="F1050" s="674"/>
      <c r="G1050" s="674"/>
      <c r="H1050" s="1476" t="s">
        <v>678</v>
      </c>
      <c r="I1050" s="1473" t="s">
        <v>75</v>
      </c>
      <c r="J1050" s="1143"/>
      <c r="K1050" s="1475">
        <v>4</v>
      </c>
      <c r="L1050" s="858">
        <v>0</v>
      </c>
      <c r="M1050" s="1143">
        <v>5</v>
      </c>
      <c r="N1050" s="858">
        <v>0</v>
      </c>
      <c r="O1050" s="1480">
        <v>5</v>
      </c>
      <c r="P1050" s="858">
        <v>0</v>
      </c>
      <c r="Q1050" s="1143"/>
      <c r="R1050" s="858">
        <v>0</v>
      </c>
      <c r="S1050" s="1143"/>
      <c r="T1050" s="858">
        <v>0</v>
      </c>
      <c r="U1050" s="1143"/>
      <c r="V1050" s="858">
        <v>0</v>
      </c>
      <c r="W1050" s="1447"/>
      <c r="X1050" s="173"/>
      <c r="Y1050" s="1474" t="s">
        <v>1154</v>
      </c>
    </row>
    <row r="1051" spans="2:25" x14ac:dyDescent="0.25">
      <c r="B1051" s="2012"/>
      <c r="C1051" s="1478"/>
      <c r="D1051" s="1478"/>
      <c r="E1051" s="674"/>
      <c r="F1051" s="674"/>
      <c r="G1051" s="674"/>
      <c r="H1051" s="1476" t="s">
        <v>679</v>
      </c>
      <c r="I1051" s="1473" t="s">
        <v>75</v>
      </c>
      <c r="J1051" s="1143"/>
      <c r="K1051" s="1475">
        <v>3</v>
      </c>
      <c r="L1051" s="858">
        <v>0</v>
      </c>
      <c r="M1051" s="1143"/>
      <c r="N1051" s="858">
        <v>0</v>
      </c>
      <c r="O1051" s="1480">
        <v>5</v>
      </c>
      <c r="P1051" s="858">
        <v>0</v>
      </c>
      <c r="Q1051" s="1143"/>
      <c r="R1051" s="858">
        <v>0</v>
      </c>
      <c r="S1051" s="1143"/>
      <c r="T1051" s="858">
        <v>0</v>
      </c>
      <c r="U1051" s="1143"/>
      <c r="V1051" s="858">
        <v>0</v>
      </c>
      <c r="W1051" s="1447"/>
      <c r="X1051" s="173"/>
      <c r="Y1051" s="1474" t="s">
        <v>1154</v>
      </c>
    </row>
    <row r="1052" spans="2:25" x14ac:dyDescent="0.25">
      <c r="B1052" s="2012"/>
      <c r="C1052" s="1478"/>
      <c r="D1052" s="1478"/>
      <c r="E1052" s="674"/>
      <c r="F1052" s="674"/>
      <c r="G1052" s="674"/>
      <c r="H1052" s="1476" t="s">
        <v>680</v>
      </c>
      <c r="I1052" s="1473" t="s">
        <v>75</v>
      </c>
      <c r="J1052" s="1143"/>
      <c r="K1052" s="1475"/>
      <c r="L1052" s="858">
        <v>0</v>
      </c>
      <c r="M1052" s="1143"/>
      <c r="N1052" s="858">
        <v>0</v>
      </c>
      <c r="O1052" s="1480"/>
      <c r="P1052" s="858">
        <v>0</v>
      </c>
      <c r="Q1052" s="1143"/>
      <c r="R1052" s="858">
        <v>0</v>
      </c>
      <c r="S1052" s="1143">
        <v>1</v>
      </c>
      <c r="T1052" s="858">
        <v>0</v>
      </c>
      <c r="U1052" s="1143">
        <v>1</v>
      </c>
      <c r="V1052" s="858">
        <v>0</v>
      </c>
      <c r="W1052" s="1447"/>
      <c r="X1052" s="173"/>
      <c r="Y1052" s="1474" t="s">
        <v>1154</v>
      </c>
    </row>
    <row r="1053" spans="2:25" x14ac:dyDescent="0.25">
      <c r="B1053" s="2012"/>
      <c r="C1053" s="1478"/>
      <c r="D1053" s="1478"/>
      <c r="E1053" s="674"/>
      <c r="F1053" s="674"/>
      <c r="G1053" s="675"/>
      <c r="H1053" s="1476" t="s">
        <v>681</v>
      </c>
      <c r="I1053" s="1473" t="s">
        <v>75</v>
      </c>
      <c r="J1053" s="1143"/>
      <c r="K1053" s="1475"/>
      <c r="L1053" s="859">
        <v>0</v>
      </c>
      <c r="M1053" s="1143"/>
      <c r="N1053" s="859">
        <v>0</v>
      </c>
      <c r="O1053" s="1480"/>
      <c r="P1053" s="859">
        <v>0</v>
      </c>
      <c r="Q1053" s="1143"/>
      <c r="R1053" s="859">
        <v>0</v>
      </c>
      <c r="S1053" s="1143">
        <v>2</v>
      </c>
      <c r="T1053" s="859">
        <v>0</v>
      </c>
      <c r="U1053" s="1143">
        <v>2</v>
      </c>
      <c r="V1053" s="859">
        <v>0</v>
      </c>
      <c r="W1053" s="1447"/>
      <c r="X1053" s="173"/>
      <c r="Y1053" s="1474" t="s">
        <v>1154</v>
      </c>
    </row>
    <row r="1054" spans="2:25" ht="25.5" x14ac:dyDescent="0.25">
      <c r="B1054" s="2012"/>
      <c r="C1054" s="1478"/>
      <c r="D1054" s="1478"/>
      <c r="E1054" s="674"/>
      <c r="F1054" s="674"/>
      <c r="G1054" s="1476" t="s">
        <v>164</v>
      </c>
      <c r="H1054" s="1476" t="s">
        <v>682</v>
      </c>
      <c r="I1054" s="1473" t="s">
        <v>75</v>
      </c>
      <c r="J1054" s="1143"/>
      <c r="K1054" s="1475">
        <v>1</v>
      </c>
      <c r="L1054" s="1480">
        <v>157500</v>
      </c>
      <c r="M1054" s="161">
        <v>1</v>
      </c>
      <c r="N1054" s="1143">
        <v>200000</v>
      </c>
      <c r="O1054" s="863">
        <v>1</v>
      </c>
      <c r="P1054" s="1143">
        <v>220000</v>
      </c>
      <c r="Q1054" s="161">
        <v>1</v>
      </c>
      <c r="R1054" s="1143">
        <v>242000</v>
      </c>
      <c r="S1054" s="161">
        <v>1</v>
      </c>
      <c r="T1054" s="1143">
        <v>266200</v>
      </c>
      <c r="U1054" s="161">
        <v>1</v>
      </c>
      <c r="V1054" s="1143">
        <v>292820</v>
      </c>
      <c r="W1054" s="1447"/>
      <c r="X1054" s="173"/>
      <c r="Y1054" s="1474" t="s">
        <v>1154</v>
      </c>
    </row>
    <row r="1055" spans="2:25" ht="25.5" x14ac:dyDescent="0.25">
      <c r="B1055" s="2012"/>
      <c r="C1055" s="1478"/>
      <c r="D1055" s="1478"/>
      <c r="E1055" s="674"/>
      <c r="F1055" s="674"/>
      <c r="G1055" s="1476" t="s">
        <v>73</v>
      </c>
      <c r="H1055" s="1476" t="s">
        <v>683</v>
      </c>
      <c r="I1055" s="1473" t="s">
        <v>75</v>
      </c>
      <c r="J1055" s="1143"/>
      <c r="K1055" s="1475">
        <v>35</v>
      </c>
      <c r="L1055" s="1480">
        <v>10500</v>
      </c>
      <c r="M1055" s="1143">
        <v>69</v>
      </c>
      <c r="N1055" s="1143">
        <v>20000</v>
      </c>
      <c r="O1055" s="1480">
        <v>94</v>
      </c>
      <c r="P1055" s="1143">
        <v>20000</v>
      </c>
      <c r="Q1055" s="1143">
        <v>104</v>
      </c>
      <c r="R1055" s="1143">
        <v>22000</v>
      </c>
      <c r="S1055" s="1143">
        <v>124</v>
      </c>
      <c r="T1055" s="1143">
        <v>24200</v>
      </c>
      <c r="U1055" s="1143">
        <v>124</v>
      </c>
      <c r="V1055" s="1143">
        <v>26620</v>
      </c>
      <c r="W1055" s="1447"/>
      <c r="X1055" s="173"/>
      <c r="Y1055" s="1474" t="s">
        <v>1154</v>
      </c>
    </row>
    <row r="1056" spans="2:25" ht="89.25" x14ac:dyDescent="0.25">
      <c r="B1056" s="2012"/>
      <c r="C1056" s="1478"/>
      <c r="D1056" s="1478"/>
      <c r="E1056" s="674"/>
      <c r="F1056" s="674"/>
      <c r="G1056" s="1476" t="s">
        <v>77</v>
      </c>
      <c r="H1056" s="173" t="s">
        <v>3164</v>
      </c>
      <c r="I1056" s="1473" t="s">
        <v>79</v>
      </c>
      <c r="J1056" s="1143">
        <v>25</v>
      </c>
      <c r="K1056" s="1475">
        <v>5</v>
      </c>
      <c r="L1056" s="1475">
        <f>SUM(L1057)</f>
        <v>21000</v>
      </c>
      <c r="M1056" s="1475">
        <v>5</v>
      </c>
      <c r="N1056" s="1475">
        <f>SUM(N1057)</f>
        <v>30000</v>
      </c>
      <c r="O1056" s="1475">
        <v>5</v>
      </c>
      <c r="P1056" s="1475">
        <f>SUM(P1057)</f>
        <v>30000</v>
      </c>
      <c r="Q1056" s="1475">
        <v>5</v>
      </c>
      <c r="R1056" s="1475">
        <f>SUM(R1057)</f>
        <v>32500</v>
      </c>
      <c r="S1056" s="1475">
        <v>5</v>
      </c>
      <c r="T1056" s="1475">
        <f>SUM(T1057)</f>
        <v>35000</v>
      </c>
      <c r="U1056" s="1475">
        <v>5</v>
      </c>
      <c r="V1056" s="1475">
        <f>SUM(V1057)</f>
        <v>35000</v>
      </c>
      <c r="W1056" s="1475">
        <v>25</v>
      </c>
      <c r="X1056" s="173"/>
      <c r="Y1056" s="1474" t="s">
        <v>1154</v>
      </c>
    </row>
    <row r="1057" spans="2:25" ht="63.75" x14ac:dyDescent="0.25">
      <c r="B1057" s="2012"/>
      <c r="C1057" s="1478"/>
      <c r="D1057" s="1478"/>
      <c r="E1057" s="674"/>
      <c r="F1057" s="674"/>
      <c r="G1057" s="1476" t="s">
        <v>80</v>
      </c>
      <c r="H1057" s="1476" t="s">
        <v>684</v>
      </c>
      <c r="I1057" s="1473" t="s">
        <v>79</v>
      </c>
      <c r="J1057" s="1143"/>
      <c r="K1057" s="1475">
        <v>5</v>
      </c>
      <c r="L1057" s="1480">
        <v>21000</v>
      </c>
      <c r="M1057" s="161">
        <v>5</v>
      </c>
      <c r="N1057" s="1143">
        <v>30000</v>
      </c>
      <c r="O1057" s="863">
        <v>5</v>
      </c>
      <c r="P1057" s="1143">
        <v>30000</v>
      </c>
      <c r="Q1057" s="161">
        <v>5</v>
      </c>
      <c r="R1057" s="1143">
        <v>32500</v>
      </c>
      <c r="S1057" s="161">
        <v>5</v>
      </c>
      <c r="T1057" s="1143">
        <v>35000</v>
      </c>
      <c r="U1057" s="161">
        <v>5</v>
      </c>
      <c r="V1057" s="1143">
        <v>35000</v>
      </c>
      <c r="W1057" s="1447"/>
      <c r="X1057" s="173"/>
      <c r="Y1057" s="1474" t="s">
        <v>1154</v>
      </c>
    </row>
    <row r="1058" spans="2:25" ht="51" x14ac:dyDescent="0.25">
      <c r="B1058" s="2012"/>
      <c r="C1058" s="1478"/>
      <c r="D1058" s="1478"/>
      <c r="E1058" s="674"/>
      <c r="F1058" s="674"/>
      <c r="G1058" s="1476" t="s">
        <v>167</v>
      </c>
      <c r="H1058" s="173" t="s">
        <v>3111</v>
      </c>
      <c r="I1058" s="1473" t="s">
        <v>79</v>
      </c>
      <c r="J1058" s="1143">
        <v>0</v>
      </c>
      <c r="K1058" s="1475">
        <v>1</v>
      </c>
      <c r="L1058" s="1475">
        <f>SUM(L1059)</f>
        <v>25000</v>
      </c>
      <c r="M1058" s="1475">
        <v>1</v>
      </c>
      <c r="N1058" s="1475">
        <f>SUM(N1059)</f>
        <v>15000</v>
      </c>
      <c r="O1058" s="1475">
        <v>1</v>
      </c>
      <c r="P1058" s="1475">
        <f>SUM(P1059)</f>
        <v>17500</v>
      </c>
      <c r="Q1058" s="1475">
        <v>1</v>
      </c>
      <c r="R1058" s="1475">
        <f>SUM(R1059)</f>
        <v>19250</v>
      </c>
      <c r="S1058" s="1475">
        <v>1</v>
      </c>
      <c r="T1058" s="1475">
        <f>SUM(T1059)</f>
        <v>21175</v>
      </c>
      <c r="U1058" s="1475">
        <v>1</v>
      </c>
      <c r="V1058" s="1475">
        <f>SUM(V1059)</f>
        <v>21175</v>
      </c>
      <c r="W1058" s="1475">
        <v>6</v>
      </c>
      <c r="X1058" s="173"/>
      <c r="Y1058" s="1474" t="s">
        <v>1154</v>
      </c>
    </row>
    <row r="1059" spans="2:25" ht="76.5" x14ac:dyDescent="0.25">
      <c r="B1059" s="2012"/>
      <c r="C1059" s="1478"/>
      <c r="D1059" s="1478"/>
      <c r="E1059" s="674"/>
      <c r="F1059" s="674"/>
      <c r="G1059" s="1476" t="s">
        <v>169</v>
      </c>
      <c r="H1059" s="1476" t="s">
        <v>685</v>
      </c>
      <c r="I1059" s="1473" t="s">
        <v>79</v>
      </c>
      <c r="J1059" s="1143"/>
      <c r="K1059" s="1475">
        <v>1</v>
      </c>
      <c r="L1059" s="1480">
        <v>25000</v>
      </c>
      <c r="M1059" s="161">
        <v>1</v>
      </c>
      <c r="N1059" s="1143">
        <v>15000</v>
      </c>
      <c r="O1059" s="1480">
        <v>1</v>
      </c>
      <c r="P1059" s="1143">
        <v>17500</v>
      </c>
      <c r="Q1059" s="161">
        <v>1</v>
      </c>
      <c r="R1059" s="1143">
        <v>19250</v>
      </c>
      <c r="S1059" s="161">
        <v>1</v>
      </c>
      <c r="T1059" s="1143">
        <v>21175</v>
      </c>
      <c r="U1059" s="161">
        <v>1</v>
      </c>
      <c r="V1059" s="1143">
        <v>21175</v>
      </c>
      <c r="W1059" s="1447">
        <v>6</v>
      </c>
      <c r="X1059" s="173"/>
      <c r="Y1059" s="1474" t="s">
        <v>1154</v>
      </c>
    </row>
    <row r="1060" spans="2:25" ht="38.25" x14ac:dyDescent="0.25">
      <c r="B1060" s="2012"/>
      <c r="C1060" s="1478"/>
      <c r="D1060" s="1478"/>
      <c r="E1060" s="674"/>
      <c r="F1060" s="674"/>
      <c r="G1060" s="1476" t="s">
        <v>612</v>
      </c>
      <c r="H1060" s="173" t="s">
        <v>3155</v>
      </c>
      <c r="I1060" s="1473" t="s">
        <v>100</v>
      </c>
      <c r="J1060" s="1143">
        <v>0</v>
      </c>
      <c r="K1060" s="1475">
        <v>10</v>
      </c>
      <c r="L1060" s="1475">
        <f>SUM(L1061)</f>
        <v>145000</v>
      </c>
      <c r="M1060" s="1475">
        <v>10</v>
      </c>
      <c r="N1060" s="1475">
        <f>SUM(N1061)</f>
        <v>50000</v>
      </c>
      <c r="O1060" s="1475">
        <v>10</v>
      </c>
      <c r="P1060" s="1475">
        <f>SUM(P1061)</f>
        <v>55000</v>
      </c>
      <c r="Q1060" s="1475">
        <v>15</v>
      </c>
      <c r="R1060" s="1475">
        <f>SUM(R1061)</f>
        <v>60500</v>
      </c>
      <c r="S1060" s="1475">
        <v>20</v>
      </c>
      <c r="T1060" s="1475">
        <f>SUM(T1061)</f>
        <v>66550</v>
      </c>
      <c r="U1060" s="1475">
        <v>20</v>
      </c>
      <c r="V1060" s="1475">
        <f>SUM(V1061)</f>
        <v>66550</v>
      </c>
      <c r="W1060" s="1475"/>
      <c r="X1060" s="173"/>
      <c r="Y1060" s="1474" t="s">
        <v>1154</v>
      </c>
    </row>
    <row r="1061" spans="2:25" ht="89.25" x14ac:dyDescent="0.25">
      <c r="B1061" s="2012"/>
      <c r="C1061" s="1478"/>
      <c r="D1061" s="1478"/>
      <c r="E1061" s="674"/>
      <c r="F1061" s="674"/>
      <c r="G1061" s="1477" t="s">
        <v>614</v>
      </c>
      <c r="H1061" s="1477" t="s">
        <v>686</v>
      </c>
      <c r="I1061" s="1473" t="s">
        <v>100</v>
      </c>
      <c r="J1061" s="1143"/>
      <c r="K1061" s="1475">
        <v>10</v>
      </c>
      <c r="L1061" s="1480">
        <v>145000</v>
      </c>
      <c r="M1061" s="1143">
        <v>10</v>
      </c>
      <c r="N1061" s="1143">
        <v>50000</v>
      </c>
      <c r="O1061" s="1480">
        <v>10</v>
      </c>
      <c r="P1061" s="1143">
        <v>55000</v>
      </c>
      <c r="Q1061" s="1143">
        <v>15</v>
      </c>
      <c r="R1061" s="1143">
        <v>60500</v>
      </c>
      <c r="S1061" s="1143">
        <v>20</v>
      </c>
      <c r="T1061" s="1143">
        <v>66550</v>
      </c>
      <c r="U1061" s="1143">
        <v>20</v>
      </c>
      <c r="V1061" s="1143">
        <v>66550</v>
      </c>
      <c r="W1061" s="1447"/>
      <c r="X1061" s="173"/>
      <c r="Y1061" s="1474" t="s">
        <v>1154</v>
      </c>
    </row>
    <row r="1062" spans="2:25" x14ac:dyDescent="0.25">
      <c r="B1062" s="2012"/>
      <c r="C1062" s="1740"/>
      <c r="D1062" s="1740"/>
      <c r="E1062" s="173"/>
      <c r="F1062" s="673"/>
      <c r="G1062" s="1477"/>
      <c r="H1062" s="1477"/>
      <c r="I1062" s="933"/>
      <c r="J1062" s="857"/>
      <c r="K1062" s="1727"/>
      <c r="L1062" s="942"/>
      <c r="M1062" s="857"/>
      <c r="N1062" s="857"/>
      <c r="O1062" s="942"/>
      <c r="P1062" s="857"/>
      <c r="Q1062" s="857"/>
      <c r="R1062" s="857"/>
      <c r="S1062" s="857"/>
      <c r="T1062" s="857"/>
      <c r="U1062" s="857"/>
      <c r="V1062" s="857"/>
      <c r="W1062" s="1508"/>
      <c r="X1062" s="673"/>
      <c r="Y1062" s="1474"/>
    </row>
    <row r="1063" spans="2:25" ht="203.25" customHeight="1" x14ac:dyDescent="0.25">
      <c r="B1063" s="2012"/>
      <c r="C1063" s="1742" t="s">
        <v>3954</v>
      </c>
      <c r="D1063" s="673" t="s">
        <v>3952</v>
      </c>
      <c r="E1063" s="673" t="s">
        <v>3955</v>
      </c>
      <c r="F1063" s="673" t="s">
        <v>3835</v>
      </c>
      <c r="G1063" s="1737" t="s">
        <v>3953</v>
      </c>
      <c r="H1063" s="173"/>
      <c r="I1063" s="1737" t="s">
        <v>19</v>
      </c>
      <c r="J1063" s="1143">
        <v>91.89</v>
      </c>
      <c r="K1063" s="1739">
        <v>92.12</v>
      </c>
      <c r="L1063" s="1744"/>
      <c r="M1063" s="1143">
        <v>92.3</v>
      </c>
      <c r="N1063" s="1744"/>
      <c r="O1063" s="1744">
        <v>92</v>
      </c>
      <c r="P1063" s="1744">
        <v>95</v>
      </c>
      <c r="Q1063" s="1143">
        <v>92</v>
      </c>
      <c r="R1063" s="1744"/>
      <c r="S1063" s="1143">
        <v>93</v>
      </c>
      <c r="T1063" s="1744"/>
      <c r="U1063" s="1143">
        <v>95</v>
      </c>
      <c r="V1063" s="1744"/>
      <c r="W1063" s="1447">
        <v>95</v>
      </c>
      <c r="X1063" s="173"/>
      <c r="Y1063" s="1474"/>
    </row>
    <row r="1064" spans="2:25" ht="38.25" x14ac:dyDescent="0.25">
      <c r="B1064" s="2012"/>
      <c r="C1064" s="1478"/>
      <c r="D1064" s="1478"/>
      <c r="E1064" s="674"/>
      <c r="F1064" s="674"/>
      <c r="G1064" s="674" t="s">
        <v>688</v>
      </c>
      <c r="H1064" s="675" t="s">
        <v>3165</v>
      </c>
      <c r="I1064" s="1253" t="s">
        <v>19</v>
      </c>
      <c r="J1064" s="1765">
        <v>91</v>
      </c>
      <c r="K1064" s="1765">
        <v>90</v>
      </c>
      <c r="L1064" s="1716">
        <f>SUM(L1068:L1071)</f>
        <v>908000</v>
      </c>
      <c r="M1064" s="1765">
        <v>90</v>
      </c>
      <c r="N1064" s="1716">
        <f>SUM(N1068:N1071)</f>
        <v>1100000</v>
      </c>
      <c r="O1064" s="1765">
        <v>90</v>
      </c>
      <c r="P1064" s="1716">
        <f>SUM(P1068:P1071)</f>
        <v>1210000</v>
      </c>
      <c r="Q1064" s="1765">
        <v>90</v>
      </c>
      <c r="R1064" s="1716">
        <f>SUM(R1068:R1071)</f>
        <v>1331000</v>
      </c>
      <c r="S1064" s="1765">
        <v>90</v>
      </c>
      <c r="T1064" s="1716">
        <f>SUM(T1068:T1071)</f>
        <v>1464100</v>
      </c>
      <c r="U1064" s="1765">
        <v>90</v>
      </c>
      <c r="V1064" s="1716">
        <f>SUM(V1068:V1071)</f>
        <v>1610510</v>
      </c>
      <c r="W1064" s="1766">
        <v>90</v>
      </c>
      <c r="X1064" s="675"/>
      <c r="Y1064" s="1474" t="s">
        <v>1154</v>
      </c>
    </row>
    <row r="1065" spans="2:25" ht="63.75" x14ac:dyDescent="0.25">
      <c r="B1065" s="2012"/>
      <c r="C1065" s="1478"/>
      <c r="D1065" s="1478"/>
      <c r="E1065" s="674"/>
      <c r="F1065" s="674"/>
      <c r="G1065" s="674"/>
      <c r="H1065" s="173" t="s">
        <v>3166</v>
      </c>
      <c r="I1065" s="1473" t="s">
        <v>19</v>
      </c>
      <c r="J1065" s="1626">
        <v>100</v>
      </c>
      <c r="K1065" s="1626">
        <v>100</v>
      </c>
      <c r="L1065" s="1716">
        <f>SUM(L1072:L1075)</f>
        <v>997605</v>
      </c>
      <c r="M1065" s="1626">
        <v>100</v>
      </c>
      <c r="N1065" s="1716">
        <f>SUM(N1072:N1075)</f>
        <v>1130000</v>
      </c>
      <c r="O1065" s="1626">
        <v>100</v>
      </c>
      <c r="P1065" s="1716">
        <f>SUM(P1072:P1075)</f>
        <v>1243000</v>
      </c>
      <c r="Q1065" s="1626">
        <v>100</v>
      </c>
      <c r="R1065" s="1716">
        <f>SUM(R1072:R1075)</f>
        <v>1367300</v>
      </c>
      <c r="S1065" s="1626">
        <v>100</v>
      </c>
      <c r="T1065" s="1716">
        <f>SUM(T1072:T1075)</f>
        <v>1504030</v>
      </c>
      <c r="U1065" s="1626">
        <v>100</v>
      </c>
      <c r="V1065" s="1716">
        <f>SUM(V1072:V1075)</f>
        <v>1654433</v>
      </c>
      <c r="W1065" s="1447">
        <v>100</v>
      </c>
      <c r="X1065" s="173"/>
      <c r="Y1065" s="1474" t="s">
        <v>1154</v>
      </c>
    </row>
    <row r="1066" spans="2:25" ht="51.75" thickBot="1" x14ac:dyDescent="0.3">
      <c r="B1066" s="2012"/>
      <c r="C1066" s="1478"/>
      <c r="D1066" s="1478"/>
      <c r="E1066" s="674"/>
      <c r="F1066" s="674"/>
      <c r="G1066" s="674"/>
      <c r="H1066" s="173" t="s">
        <v>689</v>
      </c>
      <c r="I1066" s="1473" t="s">
        <v>19</v>
      </c>
      <c r="J1066" s="1717">
        <v>79</v>
      </c>
      <c r="K1066" s="1717">
        <v>79</v>
      </c>
      <c r="L1066" s="1718">
        <f>SUM(L1076:L1082)</f>
        <v>903500</v>
      </c>
      <c r="M1066" s="1717">
        <v>79</v>
      </c>
      <c r="N1066" s="1718">
        <f>SUM(N1076:N1082)</f>
        <v>970500</v>
      </c>
      <c r="O1066" s="1717">
        <v>80</v>
      </c>
      <c r="P1066" s="1718">
        <f>SUM(P1076:P1082)</f>
        <v>1067550</v>
      </c>
      <c r="Q1066" s="1717">
        <v>80</v>
      </c>
      <c r="R1066" s="1718">
        <f>SUM(R1076:R1082)</f>
        <v>1174305</v>
      </c>
      <c r="S1066" s="1717">
        <v>83</v>
      </c>
      <c r="T1066" s="1718">
        <f>SUM(T1076:T1082)</f>
        <v>1291735.5</v>
      </c>
      <c r="U1066" s="1717">
        <v>83</v>
      </c>
      <c r="V1066" s="1718">
        <f>SUM(V1076:V1082)</f>
        <v>1420909.05</v>
      </c>
      <c r="W1066" s="1447">
        <v>83</v>
      </c>
      <c r="X1066" s="173"/>
      <c r="Y1066" s="1474" t="s">
        <v>1154</v>
      </c>
    </row>
    <row r="1067" spans="2:25" ht="39" thickTop="1" x14ac:dyDescent="0.25">
      <c r="B1067" s="2012"/>
      <c r="C1067" s="1478"/>
      <c r="D1067" s="1478"/>
      <c r="E1067" s="674"/>
      <c r="F1067" s="674"/>
      <c r="G1067" s="1272"/>
      <c r="H1067" s="675" t="s">
        <v>687</v>
      </c>
      <c r="I1067" s="1473" t="s">
        <v>19</v>
      </c>
      <c r="J1067" s="1626">
        <v>102</v>
      </c>
      <c r="K1067" s="1626">
        <v>100</v>
      </c>
      <c r="L1067" s="1719">
        <f>SUM(L1083:L1091)</f>
        <v>4435708</v>
      </c>
      <c r="M1067" s="1626">
        <v>100</v>
      </c>
      <c r="N1067" s="1719">
        <f>SUM(N1083:N1091)</f>
        <v>4196000</v>
      </c>
      <c r="O1067" s="1626">
        <v>100</v>
      </c>
      <c r="P1067" s="1719">
        <f>SUM(P1083:P1091)</f>
        <v>4615600</v>
      </c>
      <c r="Q1067" s="1626">
        <v>100</v>
      </c>
      <c r="R1067" s="1719">
        <f>SUM(R1083:R1091)</f>
        <v>5077160</v>
      </c>
      <c r="S1067" s="1626">
        <v>100</v>
      </c>
      <c r="T1067" s="1719">
        <f>SUM(T1083:T1091)</f>
        <v>5584876</v>
      </c>
      <c r="U1067" s="1626">
        <v>100</v>
      </c>
      <c r="V1067" s="1719">
        <f>SUM(V1083:V1091)</f>
        <v>6143363.5999999996</v>
      </c>
      <c r="W1067" s="1143">
        <v>100</v>
      </c>
      <c r="X1067" s="173"/>
      <c r="Y1067" s="1474" t="s">
        <v>1154</v>
      </c>
    </row>
    <row r="1068" spans="2:25" ht="38.25" x14ac:dyDescent="0.25">
      <c r="B1068" s="2012"/>
      <c r="C1068" s="1478"/>
      <c r="D1068" s="1478"/>
      <c r="E1068" s="674"/>
      <c r="F1068" s="674"/>
      <c r="G1068" s="673" t="s">
        <v>690</v>
      </c>
      <c r="H1068" s="1476" t="s">
        <v>691</v>
      </c>
      <c r="I1068" s="1473" t="s">
        <v>79</v>
      </c>
      <c r="J1068" s="1143"/>
      <c r="K1068" s="1475">
        <v>1</v>
      </c>
      <c r="L1068" s="857">
        <v>573000</v>
      </c>
      <c r="M1068" s="1143">
        <v>1</v>
      </c>
      <c r="N1068" s="857">
        <v>750000</v>
      </c>
      <c r="O1068" s="863">
        <v>1</v>
      </c>
      <c r="P1068" s="857">
        <v>825000</v>
      </c>
      <c r="Q1068" s="1143">
        <v>1</v>
      </c>
      <c r="R1068" s="857">
        <v>907500</v>
      </c>
      <c r="S1068" s="1143">
        <v>1</v>
      </c>
      <c r="T1068" s="857">
        <v>998250</v>
      </c>
      <c r="U1068" s="1143">
        <v>1</v>
      </c>
      <c r="V1068" s="857">
        <v>1098075</v>
      </c>
      <c r="W1068" s="1447"/>
      <c r="X1068" s="173"/>
      <c r="Y1068" s="1474" t="s">
        <v>1154</v>
      </c>
    </row>
    <row r="1069" spans="2:25" ht="25.5" x14ac:dyDescent="0.25">
      <c r="B1069" s="2012"/>
      <c r="C1069" s="1478"/>
      <c r="D1069" s="1478"/>
      <c r="E1069" s="674"/>
      <c r="F1069" s="674"/>
      <c r="G1069" s="675"/>
      <c r="H1069" s="1476" t="s">
        <v>692</v>
      </c>
      <c r="I1069" s="1473" t="s">
        <v>100</v>
      </c>
      <c r="J1069" s="1143"/>
      <c r="K1069" s="1475">
        <v>216</v>
      </c>
      <c r="L1069" s="859">
        <v>0</v>
      </c>
      <c r="M1069" s="1143">
        <v>216</v>
      </c>
      <c r="N1069" s="859">
        <v>0</v>
      </c>
      <c r="O1069" s="863">
        <v>180</v>
      </c>
      <c r="P1069" s="859">
        <v>0</v>
      </c>
      <c r="Q1069" s="1143">
        <v>180</v>
      </c>
      <c r="R1069" s="859">
        <v>0</v>
      </c>
      <c r="S1069" s="1143">
        <v>180</v>
      </c>
      <c r="T1069" s="859">
        <v>0</v>
      </c>
      <c r="U1069" s="1143">
        <v>180</v>
      </c>
      <c r="V1069" s="859">
        <v>0</v>
      </c>
      <c r="W1069" s="1447"/>
      <c r="X1069" s="173"/>
      <c r="Y1069" s="1474" t="s">
        <v>1154</v>
      </c>
    </row>
    <row r="1070" spans="2:25" ht="51" x14ac:dyDescent="0.25">
      <c r="B1070" s="2012"/>
      <c r="C1070" s="1478"/>
      <c r="D1070" s="1478"/>
      <c r="E1070" s="674"/>
      <c r="F1070" s="674"/>
      <c r="G1070" s="673" t="s">
        <v>693</v>
      </c>
      <c r="H1070" s="1476" t="s">
        <v>694</v>
      </c>
      <c r="I1070" s="1473" t="s">
        <v>100</v>
      </c>
      <c r="J1070" s="1143"/>
      <c r="K1070" s="1475">
        <v>14052</v>
      </c>
      <c r="L1070" s="857">
        <v>335000</v>
      </c>
      <c r="M1070" s="1143">
        <v>14000</v>
      </c>
      <c r="N1070" s="857">
        <v>350000</v>
      </c>
      <c r="O1070" s="1480">
        <v>14050</v>
      </c>
      <c r="P1070" s="857">
        <v>385000</v>
      </c>
      <c r="Q1070" s="1143">
        <v>14054</v>
      </c>
      <c r="R1070" s="857">
        <v>423500</v>
      </c>
      <c r="S1070" s="1143">
        <v>14060</v>
      </c>
      <c r="T1070" s="857">
        <v>465850</v>
      </c>
      <c r="U1070" s="1143">
        <v>14060</v>
      </c>
      <c r="V1070" s="857">
        <v>512435</v>
      </c>
      <c r="W1070" s="1447"/>
      <c r="X1070" s="173"/>
      <c r="Y1070" s="1474" t="s">
        <v>1154</v>
      </c>
    </row>
    <row r="1071" spans="2:25" ht="76.5" x14ac:dyDescent="0.25">
      <c r="B1071" s="2012"/>
      <c r="C1071" s="1478"/>
      <c r="D1071" s="1478"/>
      <c r="E1071" s="674"/>
      <c r="F1071" s="674"/>
      <c r="G1071" s="675"/>
      <c r="H1071" s="1476" t="s">
        <v>695</v>
      </c>
      <c r="I1071" s="1473" t="s">
        <v>696</v>
      </c>
      <c r="J1071" s="1143"/>
      <c r="K1071" s="1475">
        <v>1</v>
      </c>
      <c r="L1071" s="859">
        <v>0</v>
      </c>
      <c r="M1071" s="1143">
        <v>1</v>
      </c>
      <c r="N1071" s="859">
        <v>0</v>
      </c>
      <c r="O1071" s="1480">
        <v>1</v>
      </c>
      <c r="P1071" s="859">
        <v>0</v>
      </c>
      <c r="Q1071" s="1143">
        <v>1</v>
      </c>
      <c r="R1071" s="859">
        <v>0</v>
      </c>
      <c r="S1071" s="1143">
        <v>1</v>
      </c>
      <c r="T1071" s="859">
        <v>0</v>
      </c>
      <c r="U1071" s="1143">
        <v>1</v>
      </c>
      <c r="V1071" s="859">
        <v>0</v>
      </c>
      <c r="W1071" s="1447"/>
      <c r="X1071" s="173"/>
      <c r="Y1071" s="1474" t="s">
        <v>1154</v>
      </c>
    </row>
    <row r="1072" spans="2:25" ht="51" x14ac:dyDescent="0.25">
      <c r="B1072" s="2012"/>
      <c r="C1072" s="1478"/>
      <c r="D1072" s="1478"/>
      <c r="E1072" s="674"/>
      <c r="F1072" s="674"/>
      <c r="G1072" s="1476" t="s">
        <v>697</v>
      </c>
      <c r="H1072" s="1476" t="s">
        <v>698</v>
      </c>
      <c r="I1072" s="1473" t="s">
        <v>79</v>
      </c>
      <c r="J1072" s="1143"/>
      <c r="K1072" s="1475">
        <v>2</v>
      </c>
      <c r="L1072" s="1480">
        <v>286105</v>
      </c>
      <c r="M1072" s="1143">
        <v>2</v>
      </c>
      <c r="N1072" s="1143">
        <v>350000</v>
      </c>
      <c r="O1072" s="863">
        <v>2</v>
      </c>
      <c r="P1072" s="1143">
        <v>385000</v>
      </c>
      <c r="Q1072" s="1143">
        <v>2</v>
      </c>
      <c r="R1072" s="1143">
        <v>423500</v>
      </c>
      <c r="S1072" s="1143">
        <v>2</v>
      </c>
      <c r="T1072" s="1143">
        <v>465850</v>
      </c>
      <c r="U1072" s="1143">
        <v>2</v>
      </c>
      <c r="V1072" s="1143">
        <v>512435</v>
      </c>
      <c r="W1072" s="1447"/>
      <c r="X1072" s="173"/>
      <c r="Y1072" s="1474" t="s">
        <v>1154</v>
      </c>
    </row>
    <row r="1073" spans="2:25" ht="51" x14ac:dyDescent="0.25">
      <c r="B1073" s="2012"/>
      <c r="C1073" s="1478"/>
      <c r="D1073" s="1478"/>
      <c r="E1073" s="674"/>
      <c r="F1073" s="674"/>
      <c r="G1073" s="1476" t="s">
        <v>699</v>
      </c>
      <c r="H1073" s="1476" t="s">
        <v>700</v>
      </c>
      <c r="I1073" s="1473" t="s">
        <v>79</v>
      </c>
      <c r="J1073" s="1143"/>
      <c r="K1073" s="1475">
        <v>2</v>
      </c>
      <c r="L1073" s="1480">
        <v>285000</v>
      </c>
      <c r="M1073" s="161">
        <v>2</v>
      </c>
      <c r="N1073" s="1143">
        <v>300000</v>
      </c>
      <c r="O1073" s="863">
        <v>2</v>
      </c>
      <c r="P1073" s="1143">
        <v>330000</v>
      </c>
      <c r="Q1073" s="161">
        <v>2</v>
      </c>
      <c r="R1073" s="1143">
        <v>363000</v>
      </c>
      <c r="S1073" s="161">
        <v>2</v>
      </c>
      <c r="T1073" s="1143">
        <v>399300</v>
      </c>
      <c r="U1073" s="161">
        <v>2</v>
      </c>
      <c r="V1073" s="1143">
        <v>439230</v>
      </c>
      <c r="W1073" s="1447"/>
      <c r="X1073" s="173"/>
      <c r="Y1073" s="1474" t="s">
        <v>1154</v>
      </c>
    </row>
    <row r="1074" spans="2:25" ht="51" x14ac:dyDescent="0.25">
      <c r="B1074" s="2012"/>
      <c r="C1074" s="1478"/>
      <c r="D1074" s="1478"/>
      <c r="E1074" s="674"/>
      <c r="F1074" s="674"/>
      <c r="G1074" s="1476" t="s">
        <v>701</v>
      </c>
      <c r="H1074" s="1476" t="s">
        <v>702</v>
      </c>
      <c r="I1074" s="1473" t="s">
        <v>79</v>
      </c>
      <c r="J1074" s="1143"/>
      <c r="K1074" s="1475">
        <v>2</v>
      </c>
      <c r="L1074" s="1480">
        <v>160000</v>
      </c>
      <c r="M1074" s="1143">
        <v>2</v>
      </c>
      <c r="N1074" s="1143">
        <v>180000</v>
      </c>
      <c r="O1074" s="1480">
        <v>2</v>
      </c>
      <c r="P1074" s="1143">
        <v>198000</v>
      </c>
      <c r="Q1074" s="1143">
        <v>2</v>
      </c>
      <c r="R1074" s="1143">
        <v>217800</v>
      </c>
      <c r="S1074" s="1143">
        <v>2</v>
      </c>
      <c r="T1074" s="1143">
        <v>239580</v>
      </c>
      <c r="U1074" s="1143">
        <v>2</v>
      </c>
      <c r="V1074" s="1143">
        <v>263538</v>
      </c>
      <c r="W1074" s="1447"/>
      <c r="X1074" s="173"/>
      <c r="Y1074" s="1474" t="s">
        <v>1154</v>
      </c>
    </row>
    <row r="1075" spans="2:25" ht="51" x14ac:dyDescent="0.25">
      <c r="B1075" s="2012"/>
      <c r="C1075" s="1478"/>
      <c r="D1075" s="1478"/>
      <c r="E1075" s="674"/>
      <c r="F1075" s="674"/>
      <c r="G1075" s="1476" t="s">
        <v>705</v>
      </c>
      <c r="H1075" s="1476" t="s">
        <v>706</v>
      </c>
      <c r="I1075" s="1473" t="s">
        <v>79</v>
      </c>
      <c r="J1075" s="1143"/>
      <c r="K1075" s="1475">
        <v>3</v>
      </c>
      <c r="L1075" s="1480">
        <v>266500</v>
      </c>
      <c r="M1075" s="1480">
        <v>3</v>
      </c>
      <c r="N1075" s="1143">
        <v>300000</v>
      </c>
      <c r="O1075" s="1480">
        <v>3</v>
      </c>
      <c r="P1075" s="1143">
        <v>330000</v>
      </c>
      <c r="Q1075" s="161">
        <v>3</v>
      </c>
      <c r="R1075" s="1143">
        <v>363000</v>
      </c>
      <c r="S1075" s="161">
        <v>3</v>
      </c>
      <c r="T1075" s="1143">
        <v>399300</v>
      </c>
      <c r="U1075" s="161">
        <v>3</v>
      </c>
      <c r="V1075" s="1143">
        <v>439230</v>
      </c>
      <c r="W1075" s="1447"/>
      <c r="X1075" s="173"/>
      <c r="Y1075" s="1474" t="s">
        <v>1154</v>
      </c>
    </row>
    <row r="1076" spans="2:25" ht="63.75" x14ac:dyDescent="0.25">
      <c r="B1076" s="2012"/>
      <c r="C1076" s="1478"/>
      <c r="D1076" s="1478"/>
      <c r="E1076" s="674"/>
      <c r="F1076" s="674"/>
      <c r="G1076" s="1476" t="s">
        <v>703</v>
      </c>
      <c r="H1076" s="1476" t="s">
        <v>704</v>
      </c>
      <c r="I1076" s="1473" t="s">
        <v>79</v>
      </c>
      <c r="J1076" s="1143"/>
      <c r="K1076" s="1475">
        <v>1</v>
      </c>
      <c r="L1076" s="1480">
        <v>84000</v>
      </c>
      <c r="M1076" s="1480">
        <v>1</v>
      </c>
      <c r="N1076" s="1143">
        <v>80000</v>
      </c>
      <c r="O1076" s="863">
        <v>1</v>
      </c>
      <c r="P1076" s="1143">
        <v>88000</v>
      </c>
      <c r="Q1076" s="161">
        <v>1</v>
      </c>
      <c r="R1076" s="1143">
        <v>96800</v>
      </c>
      <c r="S1076" s="161">
        <v>1</v>
      </c>
      <c r="T1076" s="1143">
        <v>106480</v>
      </c>
      <c r="U1076" s="161">
        <v>1</v>
      </c>
      <c r="V1076" s="1143">
        <v>117128</v>
      </c>
      <c r="W1076" s="1447"/>
      <c r="X1076" s="173"/>
      <c r="Y1076" s="1474" t="s">
        <v>1154</v>
      </c>
    </row>
    <row r="1077" spans="2:25" ht="63.75" x14ac:dyDescent="0.25">
      <c r="B1077" s="2012"/>
      <c r="C1077" s="1478"/>
      <c r="D1077" s="1478"/>
      <c r="E1077" s="674"/>
      <c r="F1077" s="674"/>
      <c r="G1077" s="1476" t="s">
        <v>707</v>
      </c>
      <c r="H1077" s="1476" t="s">
        <v>708</v>
      </c>
      <c r="I1077" s="1473" t="s">
        <v>103</v>
      </c>
      <c r="J1077" s="1143"/>
      <c r="K1077" s="1475">
        <v>12</v>
      </c>
      <c r="L1077" s="1480">
        <v>210000</v>
      </c>
      <c r="M1077" s="161">
        <v>12</v>
      </c>
      <c r="N1077" s="1143">
        <v>250000</v>
      </c>
      <c r="O1077" s="863">
        <v>12</v>
      </c>
      <c r="P1077" s="1143">
        <v>275000</v>
      </c>
      <c r="Q1077" s="161">
        <v>12</v>
      </c>
      <c r="R1077" s="1143">
        <v>302500</v>
      </c>
      <c r="S1077" s="161">
        <v>12</v>
      </c>
      <c r="T1077" s="1143">
        <v>332750</v>
      </c>
      <c r="U1077" s="161">
        <v>12</v>
      </c>
      <c r="V1077" s="1143">
        <v>366025</v>
      </c>
      <c r="W1077" s="173"/>
      <c r="X1077" s="173"/>
      <c r="Y1077" s="1474" t="s">
        <v>1154</v>
      </c>
    </row>
    <row r="1078" spans="2:25" ht="63.75" x14ac:dyDescent="0.25">
      <c r="B1078" s="2012"/>
      <c r="C1078" s="1478"/>
      <c r="D1078" s="1478"/>
      <c r="E1078" s="674"/>
      <c r="F1078" s="674"/>
      <c r="G1078" s="1476" t="s">
        <v>727</v>
      </c>
      <c r="H1078" s="1476" t="s">
        <v>728</v>
      </c>
      <c r="I1078" s="1473" t="s">
        <v>79</v>
      </c>
      <c r="J1078" s="1143"/>
      <c r="K1078" s="1475">
        <v>2</v>
      </c>
      <c r="L1078" s="1480">
        <v>304500</v>
      </c>
      <c r="M1078" s="161">
        <v>2</v>
      </c>
      <c r="N1078" s="1143">
        <v>340500</v>
      </c>
      <c r="O1078" s="863">
        <v>2</v>
      </c>
      <c r="P1078" s="1143">
        <v>374550</v>
      </c>
      <c r="Q1078" s="161">
        <v>2</v>
      </c>
      <c r="R1078" s="1143">
        <v>412005</v>
      </c>
      <c r="S1078" s="161">
        <v>2</v>
      </c>
      <c r="T1078" s="1143">
        <v>453205.5</v>
      </c>
      <c r="U1078" s="161">
        <v>2</v>
      </c>
      <c r="V1078" s="1143">
        <v>498526.05</v>
      </c>
      <c r="W1078" s="173"/>
      <c r="X1078" s="173"/>
      <c r="Y1078" s="1474" t="s">
        <v>1154</v>
      </c>
    </row>
    <row r="1079" spans="2:25" ht="38.25" x14ac:dyDescent="0.25">
      <c r="B1079" s="2012"/>
      <c r="C1079" s="1478"/>
      <c r="D1079" s="1478"/>
      <c r="E1079" s="674"/>
      <c r="F1079" s="674"/>
      <c r="G1079" s="673" t="s">
        <v>729</v>
      </c>
      <c r="H1079" s="1476" t="s">
        <v>730</v>
      </c>
      <c r="I1079" s="1473"/>
      <c r="J1079" s="1143"/>
      <c r="K1079" s="1475"/>
      <c r="L1079" s="1480">
        <v>305000</v>
      </c>
      <c r="M1079" s="161"/>
      <c r="N1079" s="1143">
        <v>300000</v>
      </c>
      <c r="O1079" s="863"/>
      <c r="P1079" s="1143">
        <v>330000</v>
      </c>
      <c r="Q1079" s="161"/>
      <c r="R1079" s="1143">
        <v>363000</v>
      </c>
      <c r="S1079" s="161"/>
      <c r="T1079" s="1143">
        <v>399300</v>
      </c>
      <c r="U1079" s="161"/>
      <c r="V1079" s="1143">
        <v>439230</v>
      </c>
      <c r="W1079" s="173"/>
      <c r="X1079" s="173"/>
      <c r="Y1079" s="1474" t="s">
        <v>1154</v>
      </c>
    </row>
    <row r="1080" spans="2:25" ht="38.25" x14ac:dyDescent="0.25">
      <c r="B1080" s="2012"/>
      <c r="C1080" s="1478"/>
      <c r="D1080" s="1478"/>
      <c r="E1080" s="674"/>
      <c r="F1080" s="674"/>
      <c r="G1080" s="674"/>
      <c r="H1080" s="1476" t="s">
        <v>731</v>
      </c>
      <c r="I1080" s="1473" t="s">
        <v>106</v>
      </c>
      <c r="J1080" s="1143"/>
      <c r="K1080" s="1475">
        <v>50</v>
      </c>
      <c r="L1080" s="1480">
        <v>0</v>
      </c>
      <c r="M1080" s="161">
        <v>50</v>
      </c>
      <c r="N1080" s="1143">
        <v>0</v>
      </c>
      <c r="O1080" s="161">
        <v>50</v>
      </c>
      <c r="P1080" s="1143">
        <v>0</v>
      </c>
      <c r="Q1080" s="161">
        <v>50</v>
      </c>
      <c r="R1080" s="1143">
        <v>0</v>
      </c>
      <c r="S1080" s="161">
        <v>50</v>
      </c>
      <c r="T1080" s="1143">
        <v>0</v>
      </c>
      <c r="U1080" s="161">
        <v>50</v>
      </c>
      <c r="V1080" s="1143">
        <v>0</v>
      </c>
      <c r="W1080" s="173"/>
      <c r="X1080" s="173"/>
      <c r="Y1080" s="1474" t="s">
        <v>1154</v>
      </c>
    </row>
    <row r="1081" spans="2:25" ht="51" x14ac:dyDescent="0.25">
      <c r="B1081" s="2012"/>
      <c r="C1081" s="1478"/>
      <c r="D1081" s="1478"/>
      <c r="E1081" s="674"/>
      <c r="F1081" s="674"/>
      <c r="G1081" s="674"/>
      <c r="H1081" s="1476" t="s">
        <v>732</v>
      </c>
      <c r="I1081" s="1473" t="s">
        <v>75</v>
      </c>
      <c r="J1081" s="1143"/>
      <c r="K1081" s="1475">
        <v>3</v>
      </c>
      <c r="L1081" s="1480">
        <v>0</v>
      </c>
      <c r="M1081" s="161">
        <v>3</v>
      </c>
      <c r="N1081" s="1143">
        <v>0</v>
      </c>
      <c r="O1081" s="161">
        <v>3</v>
      </c>
      <c r="P1081" s="1143">
        <v>0</v>
      </c>
      <c r="Q1081" s="161">
        <v>3</v>
      </c>
      <c r="R1081" s="1143">
        <v>0</v>
      </c>
      <c r="S1081" s="161">
        <v>3</v>
      </c>
      <c r="T1081" s="1143">
        <v>0</v>
      </c>
      <c r="U1081" s="161">
        <v>3</v>
      </c>
      <c r="V1081" s="1143">
        <v>0</v>
      </c>
      <c r="W1081" s="173"/>
      <c r="X1081" s="173"/>
      <c r="Y1081" s="1474" t="s">
        <v>1154</v>
      </c>
    </row>
    <row r="1082" spans="2:25" ht="25.5" x14ac:dyDescent="0.25">
      <c r="B1082" s="2012"/>
      <c r="C1082" s="1478"/>
      <c r="D1082" s="1478"/>
      <c r="E1082" s="674"/>
      <c r="F1082" s="674"/>
      <c r="G1082" s="675"/>
      <c r="H1082" s="1476" t="s">
        <v>733</v>
      </c>
      <c r="I1082" s="1473" t="s">
        <v>364</v>
      </c>
      <c r="J1082" s="1143"/>
      <c r="K1082" s="1475">
        <v>2</v>
      </c>
      <c r="L1082" s="1480">
        <v>0</v>
      </c>
      <c r="M1082" s="161">
        <v>2</v>
      </c>
      <c r="N1082" s="1143">
        <v>0</v>
      </c>
      <c r="O1082" s="161">
        <v>2</v>
      </c>
      <c r="P1082" s="1143">
        <v>0</v>
      </c>
      <c r="Q1082" s="161">
        <v>2</v>
      </c>
      <c r="R1082" s="1143">
        <v>0</v>
      </c>
      <c r="S1082" s="161">
        <v>2</v>
      </c>
      <c r="T1082" s="1143">
        <v>0</v>
      </c>
      <c r="U1082" s="161">
        <v>2</v>
      </c>
      <c r="V1082" s="1143">
        <v>0</v>
      </c>
      <c r="W1082" s="173"/>
      <c r="X1082" s="173"/>
      <c r="Y1082" s="1474" t="s">
        <v>1154</v>
      </c>
    </row>
    <row r="1083" spans="2:25" ht="38.25" x14ac:dyDescent="0.25">
      <c r="B1083" s="2012"/>
      <c r="C1083" s="1478"/>
      <c r="D1083" s="1478"/>
      <c r="E1083" s="674"/>
      <c r="F1083" s="674"/>
      <c r="G1083" s="1476" t="s">
        <v>709</v>
      </c>
      <c r="H1083" s="1476" t="s">
        <v>710</v>
      </c>
      <c r="I1083" s="1473" t="s">
        <v>711</v>
      </c>
      <c r="J1083" s="1143"/>
      <c r="K1083" s="1475">
        <v>9</v>
      </c>
      <c r="L1083" s="1480">
        <v>472500</v>
      </c>
      <c r="M1083" s="1475">
        <v>9</v>
      </c>
      <c r="N1083" s="1143">
        <v>500000</v>
      </c>
      <c r="O1083" s="1475">
        <v>9</v>
      </c>
      <c r="P1083" s="1143">
        <v>550000</v>
      </c>
      <c r="Q1083" s="1475">
        <v>9</v>
      </c>
      <c r="R1083" s="1143">
        <v>605000</v>
      </c>
      <c r="S1083" s="1475">
        <v>9</v>
      </c>
      <c r="T1083" s="1143">
        <v>665500</v>
      </c>
      <c r="U1083" s="1475">
        <v>9</v>
      </c>
      <c r="V1083" s="1143">
        <v>732050</v>
      </c>
      <c r="W1083" s="1475"/>
      <c r="X1083" s="173"/>
      <c r="Y1083" s="1474" t="s">
        <v>1154</v>
      </c>
    </row>
    <row r="1084" spans="2:25" ht="38.25" x14ac:dyDescent="0.25">
      <c r="B1084" s="2012"/>
      <c r="C1084" s="1478"/>
      <c r="D1084" s="1478"/>
      <c r="E1084" s="674"/>
      <c r="F1084" s="674"/>
      <c r="G1084" s="673" t="s">
        <v>712</v>
      </c>
      <c r="H1084" s="1476" t="s">
        <v>712</v>
      </c>
      <c r="I1084" s="1473" t="s">
        <v>355</v>
      </c>
      <c r="J1084" s="1143"/>
      <c r="K1084" s="1475">
        <v>446</v>
      </c>
      <c r="L1084" s="1480">
        <v>3311458</v>
      </c>
      <c r="M1084" s="1475">
        <v>446</v>
      </c>
      <c r="N1084" s="1143">
        <v>2830000</v>
      </c>
      <c r="O1084" s="1475">
        <v>446</v>
      </c>
      <c r="P1084" s="1143">
        <v>3113000</v>
      </c>
      <c r="Q1084" s="1475">
        <v>446</v>
      </c>
      <c r="R1084" s="1143">
        <v>3424300</v>
      </c>
      <c r="S1084" s="1475">
        <v>446</v>
      </c>
      <c r="T1084" s="1143">
        <v>3766730</v>
      </c>
      <c r="U1084" s="1475">
        <v>446</v>
      </c>
      <c r="V1084" s="1143">
        <v>4143403</v>
      </c>
      <c r="W1084" s="1447"/>
      <c r="X1084" s="173"/>
      <c r="Y1084" s="1474" t="s">
        <v>1154</v>
      </c>
    </row>
    <row r="1085" spans="2:25" ht="51" x14ac:dyDescent="0.25">
      <c r="B1085" s="2012"/>
      <c r="C1085" s="1478"/>
      <c r="D1085" s="1478"/>
      <c r="E1085" s="674"/>
      <c r="F1085" s="674"/>
      <c r="G1085" s="674"/>
      <c r="H1085" s="1476" t="s">
        <v>713</v>
      </c>
      <c r="I1085" s="1473" t="s">
        <v>355</v>
      </c>
      <c r="J1085" s="1143"/>
      <c r="K1085" s="1475">
        <v>300</v>
      </c>
      <c r="L1085" s="1480">
        <v>0</v>
      </c>
      <c r="M1085" s="1475">
        <v>300</v>
      </c>
      <c r="N1085" s="1143">
        <v>0</v>
      </c>
      <c r="O1085" s="863">
        <v>300</v>
      </c>
      <c r="P1085" s="1143">
        <v>0</v>
      </c>
      <c r="Q1085" s="1475">
        <v>300</v>
      </c>
      <c r="R1085" s="1143">
        <v>0</v>
      </c>
      <c r="S1085" s="1475">
        <v>300</v>
      </c>
      <c r="T1085" s="1143">
        <v>0</v>
      </c>
      <c r="U1085" s="1475">
        <v>300</v>
      </c>
      <c r="V1085" s="1143">
        <v>0</v>
      </c>
      <c r="W1085" s="1447"/>
      <c r="X1085" s="173"/>
      <c r="Y1085" s="1474" t="s">
        <v>1154</v>
      </c>
    </row>
    <row r="1086" spans="2:25" ht="25.5" x14ac:dyDescent="0.25">
      <c r="B1086" s="2012"/>
      <c r="C1086" s="1478"/>
      <c r="D1086" s="1478"/>
      <c r="E1086" s="674"/>
      <c r="F1086" s="674"/>
      <c r="G1086" s="675"/>
      <c r="H1086" s="1476" t="s">
        <v>714</v>
      </c>
      <c r="I1086" s="1473" t="s">
        <v>355</v>
      </c>
      <c r="J1086" s="1143"/>
      <c r="K1086" s="1475">
        <v>446</v>
      </c>
      <c r="L1086" s="1480">
        <v>0</v>
      </c>
      <c r="M1086" s="1475">
        <v>446</v>
      </c>
      <c r="N1086" s="1143">
        <v>0</v>
      </c>
      <c r="O1086" s="1475">
        <v>446</v>
      </c>
      <c r="P1086" s="1143">
        <v>0</v>
      </c>
      <c r="Q1086" s="1475">
        <v>446</v>
      </c>
      <c r="R1086" s="1143">
        <v>0</v>
      </c>
      <c r="S1086" s="1475">
        <v>446</v>
      </c>
      <c r="T1086" s="1143">
        <v>0</v>
      </c>
      <c r="U1086" s="1475">
        <v>446</v>
      </c>
      <c r="V1086" s="1143">
        <v>0</v>
      </c>
      <c r="W1086" s="1447"/>
      <c r="X1086" s="173"/>
      <c r="Y1086" s="1474" t="s">
        <v>1154</v>
      </c>
    </row>
    <row r="1087" spans="2:25" ht="38.25" x14ac:dyDescent="0.25">
      <c r="B1087" s="2012"/>
      <c r="C1087" s="1478"/>
      <c r="D1087" s="1478"/>
      <c r="E1087" s="674"/>
      <c r="F1087" s="674"/>
      <c r="G1087" s="1476" t="s">
        <v>715</v>
      </c>
      <c r="H1087" s="1476" t="s">
        <v>716</v>
      </c>
      <c r="I1087" s="1473" t="s">
        <v>717</v>
      </c>
      <c r="J1087" s="1143"/>
      <c r="K1087" s="1475">
        <v>2201500</v>
      </c>
      <c r="L1087" s="1480">
        <v>220000</v>
      </c>
      <c r="M1087" s="161">
        <v>2251750</v>
      </c>
      <c r="N1087" s="1143">
        <v>420000</v>
      </c>
      <c r="O1087" s="1480">
        <v>2302000</v>
      </c>
      <c r="P1087" s="1143">
        <v>462000</v>
      </c>
      <c r="Q1087" s="161">
        <v>2352250</v>
      </c>
      <c r="R1087" s="1143">
        <v>508200</v>
      </c>
      <c r="S1087" s="161">
        <v>2400000</v>
      </c>
      <c r="T1087" s="1143">
        <v>559020</v>
      </c>
      <c r="U1087" s="161">
        <v>2400000</v>
      </c>
      <c r="V1087" s="1143">
        <v>614922</v>
      </c>
      <c r="W1087" s="1447"/>
      <c r="X1087" s="173"/>
      <c r="Y1087" s="1474" t="s">
        <v>1154</v>
      </c>
    </row>
    <row r="1088" spans="2:25" ht="63.75" x14ac:dyDescent="0.25">
      <c r="B1088" s="2012"/>
      <c r="C1088" s="1478"/>
      <c r="D1088" s="1478"/>
      <c r="E1088" s="674"/>
      <c r="F1088" s="674"/>
      <c r="G1088" s="1476" t="s">
        <v>718</v>
      </c>
      <c r="H1088" s="1476" t="s">
        <v>719</v>
      </c>
      <c r="I1088" s="1473" t="s">
        <v>717</v>
      </c>
      <c r="J1088" s="1143"/>
      <c r="K1088" s="1475">
        <v>20000</v>
      </c>
      <c r="L1088" s="1480">
        <v>199000</v>
      </c>
      <c r="M1088" s="161">
        <v>22500</v>
      </c>
      <c r="N1088" s="1143">
        <v>200000</v>
      </c>
      <c r="O1088" s="863">
        <v>25000</v>
      </c>
      <c r="P1088" s="1143">
        <v>220000</v>
      </c>
      <c r="Q1088" s="161">
        <v>27500</v>
      </c>
      <c r="R1088" s="1143">
        <v>242000</v>
      </c>
      <c r="S1088" s="161">
        <v>30000</v>
      </c>
      <c r="T1088" s="1143">
        <v>266200</v>
      </c>
      <c r="U1088" s="161">
        <v>30000</v>
      </c>
      <c r="V1088" s="1143">
        <v>292820</v>
      </c>
      <c r="W1088" s="1447"/>
      <c r="X1088" s="173"/>
      <c r="Y1088" s="1474" t="s">
        <v>1154</v>
      </c>
    </row>
    <row r="1089" spans="2:25" ht="63.75" x14ac:dyDescent="0.25">
      <c r="B1089" s="2012"/>
      <c r="C1089" s="1478"/>
      <c r="D1089" s="1478"/>
      <c r="E1089" s="674"/>
      <c r="F1089" s="674"/>
      <c r="G1089" s="1476" t="s">
        <v>720</v>
      </c>
      <c r="H1089" s="1476" t="s">
        <v>720</v>
      </c>
      <c r="I1089" s="1473" t="s">
        <v>40</v>
      </c>
      <c r="J1089" s="1143"/>
      <c r="K1089" s="1475">
        <v>0</v>
      </c>
      <c r="L1089" s="1143">
        <v>0</v>
      </c>
      <c r="M1089" s="161">
        <v>12</v>
      </c>
      <c r="N1089" s="1480">
        <v>80000</v>
      </c>
      <c r="O1089" s="863">
        <v>12</v>
      </c>
      <c r="P1089" s="1143">
        <v>88000</v>
      </c>
      <c r="Q1089" s="161">
        <v>12</v>
      </c>
      <c r="R1089" s="1143">
        <v>96800</v>
      </c>
      <c r="S1089" s="161">
        <v>12</v>
      </c>
      <c r="T1089" s="1143">
        <v>106480</v>
      </c>
      <c r="U1089" s="161">
        <v>12</v>
      </c>
      <c r="V1089" s="1143">
        <v>117128</v>
      </c>
      <c r="W1089" s="1447"/>
      <c r="X1089" s="173"/>
      <c r="Y1089" s="1474" t="s">
        <v>1154</v>
      </c>
    </row>
    <row r="1090" spans="2:25" ht="51" x14ac:dyDescent="0.25">
      <c r="B1090" s="2012"/>
      <c r="C1090" s="1478"/>
      <c r="D1090" s="1478"/>
      <c r="E1090" s="674"/>
      <c r="F1090" s="674"/>
      <c r="G1090" s="1476" t="s">
        <v>721</v>
      </c>
      <c r="H1090" s="1476" t="s">
        <v>722</v>
      </c>
      <c r="I1090" s="1473" t="s">
        <v>723</v>
      </c>
      <c r="J1090" s="1143"/>
      <c r="K1090" s="1475">
        <v>3</v>
      </c>
      <c r="L1090" s="1480">
        <v>105000</v>
      </c>
      <c r="M1090" s="161">
        <v>3</v>
      </c>
      <c r="N1090" s="1143">
        <v>81000</v>
      </c>
      <c r="O1090" s="1480">
        <v>3</v>
      </c>
      <c r="P1090" s="1143">
        <v>89100</v>
      </c>
      <c r="Q1090" s="161">
        <v>3</v>
      </c>
      <c r="R1090" s="1143">
        <v>98010</v>
      </c>
      <c r="S1090" s="161">
        <v>3</v>
      </c>
      <c r="T1090" s="1143">
        <v>107811</v>
      </c>
      <c r="U1090" s="161">
        <v>3</v>
      </c>
      <c r="V1090" s="1143">
        <v>118592.1</v>
      </c>
      <c r="W1090" s="173"/>
      <c r="X1090" s="173"/>
      <c r="Y1090" s="1474" t="s">
        <v>1154</v>
      </c>
    </row>
    <row r="1091" spans="2:25" ht="38.25" x14ac:dyDescent="0.25">
      <c r="B1091" s="2012"/>
      <c r="C1091" s="1478"/>
      <c r="D1091" s="1478"/>
      <c r="E1091" s="674"/>
      <c r="F1091" s="674"/>
      <c r="G1091" s="1476" t="s">
        <v>724</v>
      </c>
      <c r="H1091" s="1476" t="s">
        <v>725</v>
      </c>
      <c r="I1091" s="1473" t="s">
        <v>726</v>
      </c>
      <c r="J1091" s="1143"/>
      <c r="K1091" s="1475">
        <v>12</v>
      </c>
      <c r="L1091" s="1480">
        <v>127750</v>
      </c>
      <c r="M1091" s="161">
        <v>12</v>
      </c>
      <c r="N1091" s="1143">
        <v>85000</v>
      </c>
      <c r="O1091" s="863">
        <v>12</v>
      </c>
      <c r="P1091" s="1143">
        <v>93500</v>
      </c>
      <c r="Q1091" s="161">
        <v>12</v>
      </c>
      <c r="R1091" s="1143">
        <v>102850</v>
      </c>
      <c r="S1091" s="161">
        <v>12</v>
      </c>
      <c r="T1091" s="1143">
        <v>113135</v>
      </c>
      <c r="U1091" s="161">
        <v>12</v>
      </c>
      <c r="V1091" s="1143">
        <v>124448.5</v>
      </c>
      <c r="W1091" s="173"/>
      <c r="X1091" s="173"/>
      <c r="Y1091" s="1474" t="s">
        <v>1154</v>
      </c>
    </row>
    <row r="1092" spans="2:25" ht="51" x14ac:dyDescent="0.25">
      <c r="B1092" s="2012"/>
      <c r="C1092" s="1478"/>
      <c r="D1092" s="1478"/>
      <c r="E1092" s="674"/>
      <c r="F1092" s="674"/>
      <c r="G1092" s="673" t="s">
        <v>734</v>
      </c>
      <c r="H1092" s="173" t="s">
        <v>735</v>
      </c>
      <c r="I1092" s="1473" t="s">
        <v>0</v>
      </c>
      <c r="J1092" s="1143">
        <v>0</v>
      </c>
      <c r="K1092" s="1475">
        <v>216</v>
      </c>
      <c r="L1092" s="859">
        <f>SUM(L1093:L1096)</f>
        <v>959750</v>
      </c>
      <c r="M1092" s="1475">
        <v>216</v>
      </c>
      <c r="N1092" s="859">
        <f>SUM(N1093:N1096)</f>
        <v>1110501</v>
      </c>
      <c r="O1092" s="1475">
        <v>216</v>
      </c>
      <c r="P1092" s="859">
        <f>SUM(P1093:P1096)</f>
        <v>1210000</v>
      </c>
      <c r="Q1092" s="1475">
        <v>216</v>
      </c>
      <c r="R1092" s="859">
        <f>SUM(R1093:R1096)</f>
        <v>1319800</v>
      </c>
      <c r="S1092" s="1475">
        <v>216</v>
      </c>
      <c r="T1092" s="859">
        <f>SUM(T1093:T1096)</f>
        <v>1440780</v>
      </c>
      <c r="U1092" s="1143">
        <v>216</v>
      </c>
      <c r="V1092" s="859">
        <f>SUM(V1093:V1096)</f>
        <v>1573858</v>
      </c>
      <c r="W1092" s="173">
        <v>1080</v>
      </c>
      <c r="X1092" s="173"/>
      <c r="Y1092" s="1474" t="s">
        <v>1154</v>
      </c>
    </row>
    <row r="1093" spans="2:25" ht="51" x14ac:dyDescent="0.25">
      <c r="B1093" s="2012"/>
      <c r="C1093" s="1478"/>
      <c r="D1093" s="1478"/>
      <c r="E1093" s="674"/>
      <c r="F1093" s="674"/>
      <c r="G1093" s="1476" t="s">
        <v>736</v>
      </c>
      <c r="H1093" s="1476" t="s">
        <v>737</v>
      </c>
      <c r="I1093" s="1473" t="s">
        <v>738</v>
      </c>
      <c r="J1093" s="1143"/>
      <c r="K1093" s="1475">
        <v>9</v>
      </c>
      <c r="L1093" s="1480">
        <v>623000</v>
      </c>
      <c r="M1093" s="161">
        <v>9</v>
      </c>
      <c r="N1093" s="1143">
        <v>635000</v>
      </c>
      <c r="O1093" s="863">
        <v>9</v>
      </c>
      <c r="P1093" s="1143">
        <v>698500</v>
      </c>
      <c r="Q1093" s="161">
        <v>9</v>
      </c>
      <c r="R1093" s="1143">
        <v>768350</v>
      </c>
      <c r="S1093" s="161">
        <v>9</v>
      </c>
      <c r="T1093" s="1143">
        <v>845185</v>
      </c>
      <c r="U1093" s="161">
        <v>9</v>
      </c>
      <c r="V1093" s="1143">
        <v>929703.5</v>
      </c>
      <c r="W1093" s="173"/>
      <c r="X1093" s="173"/>
      <c r="Y1093" s="1474" t="s">
        <v>1154</v>
      </c>
    </row>
    <row r="1094" spans="2:25" ht="25.5" x14ac:dyDescent="0.25">
      <c r="B1094" s="2012"/>
      <c r="C1094" s="1478"/>
      <c r="D1094" s="1478"/>
      <c r="E1094" s="674"/>
      <c r="F1094" s="674"/>
      <c r="G1094" s="1476" t="s">
        <v>739</v>
      </c>
      <c r="H1094" s="1476" t="s">
        <v>740</v>
      </c>
      <c r="I1094" s="1473" t="s">
        <v>741</v>
      </c>
      <c r="J1094" s="1143"/>
      <c r="K1094" s="1475">
        <v>216</v>
      </c>
      <c r="L1094" s="1480">
        <v>231750</v>
      </c>
      <c r="M1094" s="161">
        <v>216</v>
      </c>
      <c r="N1094" s="1143">
        <v>245000</v>
      </c>
      <c r="O1094" s="863">
        <v>216</v>
      </c>
      <c r="P1094" s="1143">
        <v>269500</v>
      </c>
      <c r="Q1094" s="863">
        <v>216</v>
      </c>
      <c r="R1094" s="1143">
        <v>296450</v>
      </c>
      <c r="S1094" s="863">
        <v>216</v>
      </c>
      <c r="T1094" s="1143">
        <v>326095</v>
      </c>
      <c r="U1094" s="863">
        <v>216</v>
      </c>
      <c r="V1094" s="1143">
        <v>358704.5</v>
      </c>
      <c r="W1094" s="173"/>
      <c r="X1094" s="173"/>
      <c r="Y1094" s="1474" t="s">
        <v>1154</v>
      </c>
    </row>
    <row r="1095" spans="2:25" ht="63.75" x14ac:dyDescent="0.25">
      <c r="B1095" s="2012"/>
      <c r="C1095" s="1478"/>
      <c r="D1095" s="1478"/>
      <c r="E1095" s="674"/>
      <c r="F1095" s="674"/>
      <c r="G1095" s="1476" t="s">
        <v>742</v>
      </c>
      <c r="H1095" s="1476" t="s">
        <v>743</v>
      </c>
      <c r="I1095" s="1473" t="s">
        <v>744</v>
      </c>
      <c r="J1095" s="1143"/>
      <c r="K1095" s="1475"/>
      <c r="L1095" s="1480">
        <v>0</v>
      </c>
      <c r="M1095" s="161">
        <v>1</v>
      </c>
      <c r="N1095" s="1143">
        <v>110000</v>
      </c>
      <c r="O1095" s="863">
        <v>1</v>
      </c>
      <c r="P1095" s="1143">
        <v>110000</v>
      </c>
      <c r="Q1095" s="161">
        <v>1</v>
      </c>
      <c r="R1095" s="1143">
        <v>110000</v>
      </c>
      <c r="S1095" s="161">
        <v>1</v>
      </c>
      <c r="T1095" s="1143">
        <v>110000</v>
      </c>
      <c r="U1095" s="161">
        <v>1</v>
      </c>
      <c r="V1095" s="1143">
        <v>110000</v>
      </c>
      <c r="W1095" s="173"/>
      <c r="X1095" s="173"/>
      <c r="Y1095" s="1474" t="s">
        <v>1154</v>
      </c>
    </row>
    <row r="1096" spans="2:25" ht="89.25" x14ac:dyDescent="0.25">
      <c r="B1096" s="2012"/>
      <c r="C1096" s="1478"/>
      <c r="D1096" s="1478"/>
      <c r="E1096" s="674"/>
      <c r="F1096" s="674"/>
      <c r="G1096" s="1476" t="s">
        <v>745</v>
      </c>
      <c r="H1096" s="1476" t="s">
        <v>746</v>
      </c>
      <c r="I1096" s="1473" t="s">
        <v>747</v>
      </c>
      <c r="J1096" s="1143"/>
      <c r="K1096" s="1475">
        <v>120</v>
      </c>
      <c r="L1096" s="1480">
        <v>105000</v>
      </c>
      <c r="M1096" s="161">
        <v>120</v>
      </c>
      <c r="N1096" s="1143">
        <v>120501</v>
      </c>
      <c r="O1096" s="863">
        <v>120</v>
      </c>
      <c r="P1096" s="1143">
        <v>132000</v>
      </c>
      <c r="Q1096" s="161">
        <v>120</v>
      </c>
      <c r="R1096" s="1143">
        <v>145000</v>
      </c>
      <c r="S1096" s="161">
        <v>120</v>
      </c>
      <c r="T1096" s="1143">
        <v>159500</v>
      </c>
      <c r="U1096" s="161">
        <v>120</v>
      </c>
      <c r="V1096" s="1143">
        <v>175450</v>
      </c>
      <c r="W1096" s="173"/>
      <c r="X1096" s="173"/>
      <c r="Y1096" s="1474" t="s">
        <v>1154</v>
      </c>
    </row>
    <row r="1097" spans="2:25" ht="51" x14ac:dyDescent="0.25">
      <c r="B1097" s="2012"/>
      <c r="C1097" s="1478"/>
      <c r="D1097" s="1478"/>
      <c r="E1097" s="674"/>
      <c r="F1097" s="674"/>
      <c r="G1097" s="1476" t="s">
        <v>749</v>
      </c>
      <c r="H1097" s="173" t="s">
        <v>748</v>
      </c>
      <c r="I1097" s="1473" t="s">
        <v>79</v>
      </c>
      <c r="J1097" s="1143">
        <v>5</v>
      </c>
      <c r="K1097" s="1475">
        <v>1</v>
      </c>
      <c r="L1097" s="1143">
        <f>SUM(L1098)</f>
        <v>188500</v>
      </c>
      <c r="M1097" s="1475">
        <v>1</v>
      </c>
      <c r="N1097" s="1143">
        <f>SUM(N1098)</f>
        <v>200500</v>
      </c>
      <c r="O1097" s="1475">
        <v>1</v>
      </c>
      <c r="P1097" s="1143">
        <f>SUM(P1098)</f>
        <v>220550</v>
      </c>
      <c r="Q1097" s="1475">
        <v>1</v>
      </c>
      <c r="R1097" s="1143">
        <f>SUM(R1098)</f>
        <v>242605</v>
      </c>
      <c r="S1097" s="1475">
        <v>1</v>
      </c>
      <c r="T1097" s="1143">
        <f>SUM(T1098)</f>
        <v>266865.5</v>
      </c>
      <c r="U1097" s="1143">
        <v>1</v>
      </c>
      <c r="V1097" s="1143">
        <f>SUM(V1098)</f>
        <v>293552.05</v>
      </c>
      <c r="W1097" s="173">
        <v>5</v>
      </c>
      <c r="X1097" s="173"/>
      <c r="Y1097" s="1474" t="s">
        <v>1154</v>
      </c>
    </row>
    <row r="1098" spans="2:25" ht="25.5" x14ac:dyDescent="0.25">
      <c r="B1098" s="2015"/>
      <c r="C1098" s="1479"/>
      <c r="D1098" s="1479"/>
      <c r="E1098" s="675"/>
      <c r="F1098" s="675"/>
      <c r="G1098" s="1476" t="s">
        <v>750</v>
      </c>
      <c r="H1098" s="1476" t="s">
        <v>751</v>
      </c>
      <c r="I1098" s="1473" t="s">
        <v>103</v>
      </c>
      <c r="J1098" s="1143"/>
      <c r="K1098" s="1475">
        <v>12</v>
      </c>
      <c r="L1098" s="1480">
        <v>188500</v>
      </c>
      <c r="M1098" s="1475">
        <v>12</v>
      </c>
      <c r="N1098" s="1143">
        <v>200500</v>
      </c>
      <c r="O1098" s="1475">
        <v>12</v>
      </c>
      <c r="P1098" s="1143">
        <v>220550</v>
      </c>
      <c r="Q1098" s="1475">
        <v>12</v>
      </c>
      <c r="R1098" s="1143">
        <v>242605</v>
      </c>
      <c r="S1098" s="1475">
        <v>12</v>
      </c>
      <c r="T1098" s="1143">
        <v>266865.5</v>
      </c>
      <c r="U1098" s="1475">
        <v>12</v>
      </c>
      <c r="V1098" s="1143">
        <v>293552.05</v>
      </c>
      <c r="W1098" s="173"/>
      <c r="X1098" s="173"/>
      <c r="Y1098" s="1474" t="s">
        <v>1154</v>
      </c>
    </row>
    <row r="1099" spans="2:25" ht="13.5" thickBot="1" x14ac:dyDescent="0.3">
      <c r="B1099" s="866" t="s">
        <v>1817</v>
      </c>
      <c r="C1099" s="1720"/>
      <c r="D1099" s="1721"/>
      <c r="E1099" s="1721"/>
      <c r="F1099" s="1722"/>
      <c r="G1099" s="230"/>
      <c r="H1099" s="230"/>
      <c r="I1099" s="1483"/>
      <c r="J1099" s="1723"/>
      <c r="K1099" s="1724"/>
      <c r="L1099" s="1631">
        <f>SUM(L1015:L1098)/2</f>
        <v>14206563</v>
      </c>
      <c r="M1099" s="1724"/>
      <c r="N1099" s="1631">
        <f>SUM(N1015:N1098)/2</f>
        <v>14826251</v>
      </c>
      <c r="O1099" s="1724"/>
      <c r="P1099" s="1631">
        <f>SUM(P1015:P1098)/2</f>
        <v>12512972.5</v>
      </c>
      <c r="Q1099" s="1724"/>
      <c r="R1099" s="1631">
        <f>SUM(R1015:R1098)/2</f>
        <v>13476517.5</v>
      </c>
      <c r="S1099" s="1724"/>
      <c r="T1099" s="1631">
        <f>SUM(T1015:T1098)/2</f>
        <v>14756419.25</v>
      </c>
      <c r="U1099" s="1723"/>
      <c r="V1099" s="1631">
        <f>SUM(V1015:V1098)/2</f>
        <v>16152788.675000003</v>
      </c>
      <c r="W1099" s="233"/>
      <c r="X1099" s="233"/>
      <c r="Y1099" s="1632"/>
    </row>
    <row r="1100" spans="2:25" ht="13.5" thickTop="1" x14ac:dyDescent="0.25"/>
    <row r="1101" spans="2:25" ht="13.5" thickBot="1" x14ac:dyDescent="0.3">
      <c r="B1101" s="883" t="s">
        <v>1687</v>
      </c>
    </row>
    <row r="1102" spans="2:25" ht="13.5" thickTop="1" x14ac:dyDescent="0.25">
      <c r="B1102" s="2045" t="s">
        <v>494</v>
      </c>
      <c r="C1102" s="2040" t="s">
        <v>752</v>
      </c>
      <c r="D1102" s="2040" t="s">
        <v>576</v>
      </c>
      <c r="E1102" s="2040" t="s">
        <v>577</v>
      </c>
      <c r="F1102" s="2040" t="s">
        <v>3127</v>
      </c>
      <c r="G1102" s="2040" t="s">
        <v>3128</v>
      </c>
      <c r="H1102" s="2040" t="s">
        <v>966</v>
      </c>
      <c r="I1102" s="2040" t="s">
        <v>421</v>
      </c>
      <c r="J1102" s="2055" t="s">
        <v>967</v>
      </c>
      <c r="K1102" s="2053" t="s">
        <v>7</v>
      </c>
      <c r="L1102" s="2054"/>
      <c r="M1102" s="2054"/>
      <c r="N1102" s="2054"/>
      <c r="O1102" s="2054"/>
      <c r="P1102" s="2054"/>
      <c r="Q1102" s="2054"/>
      <c r="R1102" s="2054"/>
      <c r="S1102" s="2054"/>
      <c r="T1102" s="2054"/>
      <c r="U1102" s="2054"/>
      <c r="V1102" s="2054"/>
      <c r="W1102" s="2054"/>
      <c r="X1102" s="2040" t="s">
        <v>653</v>
      </c>
      <c r="Y1102" s="2049" t="s">
        <v>1147</v>
      </c>
    </row>
    <row r="1103" spans="2:25" x14ac:dyDescent="0.25">
      <c r="B1103" s="2046"/>
      <c r="C1103" s="2041"/>
      <c r="D1103" s="2041"/>
      <c r="E1103" s="2041"/>
      <c r="F1103" s="2041"/>
      <c r="G1103" s="2041"/>
      <c r="H1103" s="2041"/>
      <c r="I1103" s="2041"/>
      <c r="J1103" s="2052"/>
      <c r="K1103" s="2051" t="s">
        <v>114</v>
      </c>
      <c r="L1103" s="2038"/>
      <c r="M1103" s="2051" t="s">
        <v>115</v>
      </c>
      <c r="N1103" s="2038"/>
      <c r="O1103" s="2051" t="s">
        <v>116</v>
      </c>
      <c r="P1103" s="2038"/>
      <c r="Q1103" s="2051" t="s">
        <v>117</v>
      </c>
      <c r="R1103" s="2038"/>
      <c r="S1103" s="2051" t="s">
        <v>118</v>
      </c>
      <c r="T1103" s="2038"/>
      <c r="U1103" s="2051" t="s">
        <v>119</v>
      </c>
      <c r="V1103" s="2038"/>
      <c r="W1103" s="2052" t="s">
        <v>968</v>
      </c>
      <c r="X1103" s="2041"/>
      <c r="Y1103" s="2050"/>
    </row>
    <row r="1104" spans="2:25" x14ac:dyDescent="0.25">
      <c r="B1104" s="2046"/>
      <c r="C1104" s="2041"/>
      <c r="D1104" s="2041"/>
      <c r="E1104" s="2041"/>
      <c r="F1104" s="2041"/>
      <c r="G1104" s="2041"/>
      <c r="H1104" s="2041"/>
      <c r="I1104" s="2041"/>
      <c r="J1104" s="2052"/>
      <c r="K1104" s="1263" t="s">
        <v>9</v>
      </c>
      <c r="L1104" s="1503" t="s">
        <v>3107</v>
      </c>
      <c r="M1104" s="1263" t="s">
        <v>9</v>
      </c>
      <c r="N1104" s="1503" t="s">
        <v>1355</v>
      </c>
      <c r="O1104" s="1263" t="s">
        <v>9</v>
      </c>
      <c r="P1104" s="1503" t="s">
        <v>1355</v>
      </c>
      <c r="Q1104" s="1263" t="s">
        <v>9</v>
      </c>
      <c r="R1104" s="1503" t="s">
        <v>1355</v>
      </c>
      <c r="S1104" s="1263" t="s">
        <v>9</v>
      </c>
      <c r="T1104" s="1503" t="s">
        <v>1355</v>
      </c>
      <c r="U1104" s="1263" t="s">
        <v>9</v>
      </c>
      <c r="V1104" s="1503" t="s">
        <v>1355</v>
      </c>
      <c r="W1104" s="2052"/>
      <c r="X1104" s="2041"/>
      <c r="Y1104" s="2050"/>
    </row>
    <row r="1105" spans="2:25" s="1239" customFormat="1" x14ac:dyDescent="0.25">
      <c r="B1105" s="1504" t="s">
        <v>586</v>
      </c>
      <c r="C1105" s="1448" t="s">
        <v>585</v>
      </c>
      <c r="D1105" s="1448" t="s">
        <v>654</v>
      </c>
      <c r="E1105" s="1448" t="s">
        <v>655</v>
      </c>
      <c r="F1105" s="1505" t="s">
        <v>32</v>
      </c>
      <c r="G1105" s="933">
        <v>6</v>
      </c>
      <c r="H1105" s="1505">
        <v>7</v>
      </c>
      <c r="I1105" s="1445" t="s">
        <v>3065</v>
      </c>
      <c r="J1105" s="1269" t="s">
        <v>3066</v>
      </c>
      <c r="K1105" s="1269" t="s">
        <v>3067</v>
      </c>
      <c r="L1105" s="1506" t="s">
        <v>3068</v>
      </c>
      <c r="M1105" s="1269" t="s">
        <v>3069</v>
      </c>
      <c r="N1105" s="1506">
        <v>13</v>
      </c>
      <c r="O1105" s="1269">
        <v>14</v>
      </c>
      <c r="P1105" s="1506">
        <v>15</v>
      </c>
      <c r="Q1105" s="1269">
        <v>16</v>
      </c>
      <c r="R1105" s="1506">
        <v>17</v>
      </c>
      <c r="S1105" s="1269">
        <v>18</v>
      </c>
      <c r="T1105" s="1506">
        <v>19</v>
      </c>
      <c r="U1105" s="1269">
        <v>20</v>
      </c>
      <c r="V1105" s="1506">
        <v>21</v>
      </c>
      <c r="W1105" s="1269">
        <v>22</v>
      </c>
      <c r="X1105" s="1445">
        <v>23</v>
      </c>
      <c r="Y1105" s="1507">
        <v>24</v>
      </c>
    </row>
    <row r="1106" spans="2:25" ht="51" customHeight="1" x14ac:dyDescent="0.25">
      <c r="B1106" s="2012" t="s">
        <v>1652</v>
      </c>
      <c r="C1106" s="2013" t="s">
        <v>3816</v>
      </c>
      <c r="D1106" s="2013" t="s">
        <v>3814</v>
      </c>
      <c r="E1106" s="2013" t="s">
        <v>3815</v>
      </c>
      <c r="F1106" s="2013" t="s">
        <v>1305</v>
      </c>
      <c r="G1106" s="173" t="s">
        <v>3131</v>
      </c>
      <c r="H1106" s="173" t="s">
        <v>1305</v>
      </c>
      <c r="I1106" s="1473" t="s">
        <v>19</v>
      </c>
      <c r="J1106" s="1725">
        <v>37.5</v>
      </c>
      <c r="K1106" s="1725">
        <v>37.5</v>
      </c>
      <c r="L1106" s="1250"/>
      <c r="M1106" s="1594">
        <v>40.630000000000003</v>
      </c>
      <c r="N1106" s="1250"/>
      <c r="O1106" s="1594">
        <v>40.630000000000003</v>
      </c>
      <c r="P1106" s="1250"/>
      <c r="Q1106" s="1594">
        <v>43.75</v>
      </c>
      <c r="R1106" s="1250"/>
      <c r="S1106" s="1594">
        <v>43.75</v>
      </c>
      <c r="T1106" s="1250"/>
      <c r="U1106" s="1594">
        <v>43.75</v>
      </c>
      <c r="V1106" s="1250"/>
      <c r="W1106" s="1595">
        <v>43.75</v>
      </c>
      <c r="X1106" s="885"/>
      <c r="Y1106" s="1593" t="s">
        <v>1687</v>
      </c>
    </row>
    <row r="1107" spans="2:25" ht="38.25" x14ac:dyDescent="0.25">
      <c r="B1107" s="2012"/>
      <c r="C1107" s="2014"/>
      <c r="D1107" s="2014"/>
      <c r="E1107" s="2014"/>
      <c r="F1107" s="2014"/>
      <c r="G1107" s="173" t="s">
        <v>1819</v>
      </c>
      <c r="H1107" s="173" t="s">
        <v>1653</v>
      </c>
      <c r="I1107" s="1475" t="s">
        <v>19</v>
      </c>
      <c r="J1107" s="1480" t="s">
        <v>1654</v>
      </c>
      <c r="K1107" s="1143">
        <v>75</v>
      </c>
      <c r="L1107" s="1143">
        <v>95000</v>
      </c>
      <c r="M1107" s="1143">
        <v>75</v>
      </c>
      <c r="N1107" s="1143">
        <v>100000</v>
      </c>
      <c r="O1107" s="1143">
        <v>75</v>
      </c>
      <c r="P1107" s="1143">
        <v>110000</v>
      </c>
      <c r="Q1107" s="1143">
        <v>75</v>
      </c>
      <c r="R1107" s="1143">
        <v>125000</v>
      </c>
      <c r="S1107" s="1143">
        <v>75</v>
      </c>
      <c r="T1107" s="1143">
        <v>140000</v>
      </c>
      <c r="U1107" s="1143">
        <v>375</v>
      </c>
      <c r="V1107" s="1143">
        <v>140000</v>
      </c>
      <c r="W1107" s="885"/>
      <c r="X1107" s="885"/>
      <c r="Y1107" s="1593" t="s">
        <v>1687</v>
      </c>
    </row>
    <row r="1108" spans="2:25" ht="51" customHeight="1" x14ac:dyDescent="0.25">
      <c r="B1108" s="2012"/>
      <c r="C1108" s="2014"/>
      <c r="D1108" s="2014"/>
      <c r="E1108" s="674"/>
      <c r="F1108" s="1272"/>
      <c r="G1108" s="173" t="s">
        <v>1820</v>
      </c>
      <c r="H1108" s="173" t="s">
        <v>1655</v>
      </c>
      <c r="I1108" s="1475" t="s">
        <v>19</v>
      </c>
      <c r="J1108" s="1480" t="s">
        <v>1654</v>
      </c>
      <c r="K1108" s="1143">
        <v>75</v>
      </c>
      <c r="L1108" s="1143">
        <v>50000</v>
      </c>
      <c r="M1108" s="1143">
        <v>75</v>
      </c>
      <c r="N1108" s="1143">
        <v>55000</v>
      </c>
      <c r="O1108" s="1143">
        <v>75</v>
      </c>
      <c r="P1108" s="1143">
        <v>60000</v>
      </c>
      <c r="Q1108" s="1143">
        <v>75</v>
      </c>
      <c r="R1108" s="1143">
        <v>65000</v>
      </c>
      <c r="S1108" s="1143">
        <v>75</v>
      </c>
      <c r="T1108" s="1143">
        <v>75000</v>
      </c>
      <c r="U1108" s="1143">
        <v>375</v>
      </c>
      <c r="V1108" s="1143">
        <v>75000</v>
      </c>
      <c r="W1108" s="885"/>
      <c r="X1108" s="885"/>
      <c r="Y1108" s="1593" t="s">
        <v>1687</v>
      </c>
    </row>
    <row r="1109" spans="2:25" x14ac:dyDescent="0.25">
      <c r="B1109" s="2012"/>
      <c r="C1109" s="173"/>
      <c r="D1109" s="173"/>
      <c r="E1109" s="1798"/>
      <c r="F1109" s="1272"/>
      <c r="G1109" s="173"/>
      <c r="H1109" s="173"/>
      <c r="I1109" s="1475"/>
      <c r="J1109" s="1480"/>
      <c r="K1109" s="1143"/>
      <c r="L1109" s="1143"/>
      <c r="M1109" s="1143"/>
      <c r="N1109" s="1143"/>
      <c r="O1109" s="1143"/>
      <c r="P1109" s="1143"/>
      <c r="Q1109" s="1143"/>
      <c r="R1109" s="1143"/>
      <c r="S1109" s="1143"/>
      <c r="T1109" s="1143"/>
      <c r="U1109" s="1143"/>
      <c r="V1109" s="1143"/>
      <c r="W1109" s="885"/>
      <c r="X1109" s="885"/>
      <c r="Y1109" s="1593" t="s">
        <v>1687</v>
      </c>
    </row>
    <row r="1110" spans="2:25" ht="38.25" customHeight="1" x14ac:dyDescent="0.25">
      <c r="B1110" s="2012"/>
      <c r="C1110" s="2013" t="s">
        <v>10</v>
      </c>
      <c r="D1110" s="2013" t="s">
        <v>3823</v>
      </c>
      <c r="E1110" s="2014" t="s">
        <v>4106</v>
      </c>
      <c r="F1110" s="173" t="s">
        <v>1801</v>
      </c>
      <c r="G1110" s="1476" t="s">
        <v>3134</v>
      </c>
      <c r="H1110" s="1476" t="s">
        <v>1801</v>
      </c>
      <c r="I1110" s="1473" t="s">
        <v>696</v>
      </c>
      <c r="J1110" s="1245">
        <v>72.77</v>
      </c>
      <c r="K1110" s="1260">
        <v>72.81</v>
      </c>
      <c r="L1110" s="1247"/>
      <c r="M1110" s="1261">
        <v>72.849999999999994</v>
      </c>
      <c r="N1110" s="1247"/>
      <c r="O1110" s="1261">
        <v>72.89</v>
      </c>
      <c r="P1110" s="1247"/>
      <c r="Q1110" s="1261">
        <v>72.930000000000007</v>
      </c>
      <c r="R1110" s="1247"/>
      <c r="S1110" s="1261">
        <v>72.97</v>
      </c>
      <c r="T1110" s="1247"/>
      <c r="U1110" s="1261">
        <v>73.010000000000005</v>
      </c>
      <c r="V1110" s="1247"/>
      <c r="W1110" s="1261">
        <v>73.010000000000005</v>
      </c>
      <c r="X1110" s="885"/>
      <c r="Y1110" s="1593" t="s">
        <v>1687</v>
      </c>
    </row>
    <row r="1111" spans="2:25" ht="38.25" x14ac:dyDescent="0.25">
      <c r="B1111" s="2015"/>
      <c r="C1111" s="2014"/>
      <c r="D1111" s="2014"/>
      <c r="E1111" s="2044"/>
      <c r="F1111" s="1799"/>
      <c r="G1111" s="173" t="s">
        <v>1823</v>
      </c>
      <c r="H1111" s="173" t="s">
        <v>1658</v>
      </c>
      <c r="I1111" s="1475" t="s">
        <v>19</v>
      </c>
      <c r="J1111" s="1480" t="s">
        <v>1654</v>
      </c>
      <c r="K1111" s="1143">
        <v>55</v>
      </c>
      <c r="L1111" s="1143">
        <v>30000</v>
      </c>
      <c r="M1111" s="1143">
        <v>55</v>
      </c>
      <c r="N1111" s="1143">
        <v>40000</v>
      </c>
      <c r="O1111" s="1143">
        <v>55</v>
      </c>
      <c r="P1111" s="1143">
        <v>50000</v>
      </c>
      <c r="Q1111" s="1143">
        <v>55</v>
      </c>
      <c r="R1111" s="1143">
        <v>60000</v>
      </c>
      <c r="S1111" s="1143">
        <v>55</v>
      </c>
      <c r="T1111" s="1143">
        <v>75000</v>
      </c>
      <c r="U1111" s="1143">
        <v>275</v>
      </c>
      <c r="V1111" s="1143">
        <v>75000</v>
      </c>
      <c r="W1111" s="885"/>
      <c r="X1111" s="885"/>
      <c r="Y1111" s="1593" t="s">
        <v>1687</v>
      </c>
    </row>
    <row r="1112" spans="2:25" x14ac:dyDescent="0.25">
      <c r="B1112" s="231"/>
      <c r="C1112" s="173"/>
      <c r="D1112" s="173"/>
      <c r="E1112" s="232"/>
      <c r="F1112" s="885"/>
      <c r="G1112" s="173"/>
      <c r="H1112" s="173"/>
      <c r="I1112" s="1475"/>
      <c r="J1112" s="1480"/>
      <c r="K1112" s="1143"/>
      <c r="L1112" s="1143"/>
      <c r="M1112" s="1143"/>
      <c r="N1112" s="1143"/>
      <c r="O1112" s="1143"/>
      <c r="P1112" s="1143"/>
      <c r="Q1112" s="1143"/>
      <c r="R1112" s="1143"/>
      <c r="S1112" s="1143"/>
      <c r="T1112" s="1143"/>
      <c r="U1112" s="1143"/>
      <c r="V1112" s="1143"/>
      <c r="W1112" s="885"/>
      <c r="X1112" s="885"/>
      <c r="Y1112" s="1593" t="s">
        <v>1687</v>
      </c>
    </row>
    <row r="1113" spans="2:25" ht="114.75" x14ac:dyDescent="0.25">
      <c r="B1113" s="2011" t="s">
        <v>1651</v>
      </c>
      <c r="C1113" s="2013" t="s">
        <v>1822</v>
      </c>
      <c r="D1113" s="2013" t="s">
        <v>1656</v>
      </c>
      <c r="E1113" s="2013" t="s">
        <v>3747</v>
      </c>
      <c r="F1113" s="1476" t="s">
        <v>1804</v>
      </c>
      <c r="G1113" s="1597" t="s">
        <v>3171</v>
      </c>
      <c r="H1113" s="1476" t="s">
        <v>1804</v>
      </c>
      <c r="I1113" s="1475" t="s">
        <v>19</v>
      </c>
      <c r="J1113" s="1480">
        <v>30</v>
      </c>
      <c r="K1113" s="1143">
        <v>40</v>
      </c>
      <c r="L1113" s="1143"/>
      <c r="M1113" s="1143">
        <v>50</v>
      </c>
      <c r="N1113" s="1143"/>
      <c r="O1113" s="1143">
        <v>60</v>
      </c>
      <c r="P1113" s="1143"/>
      <c r="Q1113" s="1143">
        <v>70</v>
      </c>
      <c r="R1113" s="1143"/>
      <c r="S1113" s="1143">
        <v>80</v>
      </c>
      <c r="T1113" s="1143"/>
      <c r="U1113" s="1143">
        <v>80</v>
      </c>
      <c r="V1113" s="1143"/>
      <c r="W1113" s="1436">
        <f>U1113</f>
        <v>80</v>
      </c>
      <c r="X1113" s="885"/>
      <c r="Y1113" s="1593" t="s">
        <v>1687</v>
      </c>
    </row>
    <row r="1114" spans="2:25" ht="51" x14ac:dyDescent="0.25">
      <c r="B1114" s="2012"/>
      <c r="C1114" s="2014"/>
      <c r="D1114" s="2014"/>
      <c r="E1114" s="2014"/>
      <c r="F1114" s="1797"/>
      <c r="G1114" s="1597"/>
      <c r="H1114" s="173" t="s">
        <v>4107</v>
      </c>
      <c r="I1114" s="1799" t="s">
        <v>4108</v>
      </c>
      <c r="J1114" s="1835">
        <v>0</v>
      </c>
      <c r="K1114" s="1835">
        <v>0</v>
      </c>
      <c r="L1114" s="1835">
        <v>0</v>
      </c>
      <c r="M1114" s="1835">
        <v>0</v>
      </c>
      <c r="N1114" s="1835">
        <v>1</v>
      </c>
      <c r="O1114" s="1835">
        <v>0</v>
      </c>
      <c r="P1114" s="1835">
        <v>0</v>
      </c>
      <c r="Q1114" s="1143"/>
      <c r="R1114" s="1897"/>
      <c r="S1114" s="1143"/>
      <c r="T1114" s="1897"/>
      <c r="U1114" s="1143"/>
      <c r="V1114" s="1897"/>
      <c r="W1114" s="1436"/>
      <c r="X1114" s="885"/>
      <c r="Y1114" s="1593"/>
    </row>
    <row r="1115" spans="2:25" ht="114.75" x14ac:dyDescent="0.25">
      <c r="B1115" s="2012"/>
      <c r="C1115" s="2014"/>
      <c r="D1115" s="2014"/>
      <c r="E1115" s="2014"/>
      <c r="F1115" s="933"/>
      <c r="G1115" s="673" t="s">
        <v>1821</v>
      </c>
      <c r="H1115" s="173" t="s">
        <v>1657</v>
      </c>
      <c r="I1115" s="1475" t="s">
        <v>19</v>
      </c>
      <c r="J1115" s="1480" t="s">
        <v>1654</v>
      </c>
      <c r="K1115" s="1480">
        <v>100</v>
      </c>
      <c r="L1115" s="1726">
        <v>250000</v>
      </c>
      <c r="M1115" s="1480">
        <v>100</v>
      </c>
      <c r="N1115" s="1726">
        <v>300000</v>
      </c>
      <c r="O1115" s="1480">
        <v>100</v>
      </c>
      <c r="P1115" s="1726">
        <v>300000</v>
      </c>
      <c r="Q1115" s="1480">
        <v>100</v>
      </c>
      <c r="R1115" s="1726">
        <v>350000</v>
      </c>
      <c r="S1115" s="1480">
        <v>100</v>
      </c>
      <c r="T1115" s="1726">
        <v>350000</v>
      </c>
      <c r="U1115" s="1480">
        <v>500</v>
      </c>
      <c r="V1115" s="1726">
        <v>350000</v>
      </c>
      <c r="W1115" s="1628">
        <v>100</v>
      </c>
      <c r="X1115" s="885"/>
      <c r="Y1115" s="1593" t="s">
        <v>1687</v>
      </c>
    </row>
    <row r="1116" spans="2:25" ht="51" x14ac:dyDescent="0.25">
      <c r="B1116" s="2012"/>
      <c r="C1116" s="2014"/>
      <c r="D1116" s="2014"/>
      <c r="E1116" s="2014"/>
      <c r="F1116" s="232"/>
      <c r="G1116" s="673" t="s">
        <v>1824</v>
      </c>
      <c r="H1116" s="173" t="s">
        <v>1666</v>
      </c>
      <c r="I1116" s="1475" t="s">
        <v>19</v>
      </c>
      <c r="J1116" s="1480" t="s">
        <v>1654</v>
      </c>
      <c r="K1116" s="1143">
        <v>50</v>
      </c>
      <c r="L1116" s="1143">
        <v>150000</v>
      </c>
      <c r="M1116" s="1143">
        <v>50</v>
      </c>
      <c r="N1116" s="1143">
        <v>400000</v>
      </c>
      <c r="O1116" s="1143">
        <v>20</v>
      </c>
      <c r="P1116" s="1143">
        <v>200000</v>
      </c>
      <c r="Q1116" s="1143">
        <v>15</v>
      </c>
      <c r="R1116" s="1143">
        <v>200000</v>
      </c>
      <c r="S1116" s="1143">
        <v>15</v>
      </c>
      <c r="T1116" s="1143">
        <v>200000</v>
      </c>
      <c r="U1116" s="1143">
        <v>100</v>
      </c>
      <c r="V1116" s="1143">
        <v>200000</v>
      </c>
      <c r="W1116" s="885"/>
      <c r="X1116" s="885"/>
      <c r="Y1116" s="1593" t="s">
        <v>1687</v>
      </c>
    </row>
    <row r="1117" spans="2:25" ht="38.25" x14ac:dyDescent="0.25">
      <c r="B1117" s="2015"/>
      <c r="C1117" s="2044"/>
      <c r="D1117" s="2044"/>
      <c r="E1117" s="2044"/>
      <c r="F1117" s="1253"/>
      <c r="G1117" s="675"/>
      <c r="H1117" s="173" t="s">
        <v>1659</v>
      </c>
      <c r="I1117" s="1475" t="s">
        <v>19</v>
      </c>
      <c r="J1117" s="1480" t="s">
        <v>1654</v>
      </c>
      <c r="K1117" s="1143">
        <v>75</v>
      </c>
      <c r="L1117" s="1143">
        <v>25000</v>
      </c>
      <c r="M1117" s="1143">
        <v>75</v>
      </c>
      <c r="N1117" s="1143">
        <v>130000</v>
      </c>
      <c r="O1117" s="1143">
        <v>75</v>
      </c>
      <c r="P1117" s="1143">
        <v>135000</v>
      </c>
      <c r="Q1117" s="1143">
        <v>75</v>
      </c>
      <c r="R1117" s="1143">
        <v>140000</v>
      </c>
      <c r="S1117" s="1143">
        <v>75</v>
      </c>
      <c r="T1117" s="1143">
        <v>145000</v>
      </c>
      <c r="U1117" s="1143">
        <v>375</v>
      </c>
      <c r="V1117" s="1143">
        <v>145000</v>
      </c>
      <c r="W1117" s="885"/>
      <c r="X1117" s="885"/>
      <c r="Y1117" s="1593" t="s">
        <v>1687</v>
      </c>
    </row>
    <row r="1118" spans="2:25" x14ac:dyDescent="0.25">
      <c r="B1118" s="1485"/>
      <c r="C1118" s="1476"/>
      <c r="D1118" s="1476"/>
      <c r="E1118" s="1476"/>
      <c r="F1118" s="933"/>
      <c r="G1118" s="673"/>
      <c r="H1118" s="673"/>
      <c r="I1118" s="1727"/>
      <c r="J1118" s="942"/>
      <c r="K1118" s="857"/>
      <c r="L1118" s="857"/>
      <c r="M1118" s="857"/>
      <c r="N1118" s="857"/>
      <c r="O1118" s="857"/>
      <c r="P1118" s="857"/>
      <c r="Q1118" s="857"/>
      <c r="R1118" s="857"/>
      <c r="S1118" s="857"/>
      <c r="T1118" s="857"/>
      <c r="U1118" s="857"/>
      <c r="V1118" s="857"/>
      <c r="W1118" s="885"/>
      <c r="X1118" s="885"/>
      <c r="Y1118" s="1593" t="s">
        <v>1687</v>
      </c>
    </row>
    <row r="1119" spans="2:25" ht="51" x14ac:dyDescent="0.25">
      <c r="B1119" s="2070" t="s">
        <v>1357</v>
      </c>
      <c r="C1119" s="1965" t="s">
        <v>1381</v>
      </c>
      <c r="D1119" s="1965" t="s">
        <v>1382</v>
      </c>
      <c r="E1119" s="1965" t="s">
        <v>1383</v>
      </c>
      <c r="F1119" s="173" t="s">
        <v>3170</v>
      </c>
      <c r="G1119" s="1473" t="s">
        <v>3169</v>
      </c>
      <c r="H1119" s="173" t="s">
        <v>3170</v>
      </c>
      <c r="I1119" s="1249" t="s">
        <v>19</v>
      </c>
      <c r="J1119" s="1596">
        <v>5.8285714285714283</v>
      </c>
      <c r="K1119" s="1596">
        <v>5.8571428571428568</v>
      </c>
      <c r="L1119" s="1270"/>
      <c r="M1119" s="1596">
        <v>5.8857142857142852</v>
      </c>
      <c r="N1119" s="1270"/>
      <c r="O1119" s="1596">
        <v>5.9142857142857137</v>
      </c>
      <c r="P1119" s="1270"/>
      <c r="Q1119" s="1596">
        <v>5.9428571428571422</v>
      </c>
      <c r="R1119" s="1270"/>
      <c r="S1119" s="1596">
        <v>5.9714285714285706</v>
      </c>
      <c r="T1119" s="1270"/>
      <c r="U1119" s="1596">
        <v>6</v>
      </c>
      <c r="V1119" s="1270"/>
      <c r="W1119" s="1728">
        <v>6</v>
      </c>
      <c r="X1119" s="885"/>
      <c r="Y1119" s="1593" t="s">
        <v>1687</v>
      </c>
    </row>
    <row r="1120" spans="2:25" ht="76.5" x14ac:dyDescent="0.25">
      <c r="B1120" s="2071"/>
      <c r="C1120" s="1966"/>
      <c r="D1120" s="1966"/>
      <c r="E1120" s="1966"/>
      <c r="F1120" s="1601"/>
      <c r="G1120" s="173" t="s">
        <v>1825</v>
      </c>
      <c r="H1120" s="173" t="s">
        <v>1660</v>
      </c>
      <c r="I1120" s="1475" t="s">
        <v>1661</v>
      </c>
      <c r="J1120" s="1480" t="s">
        <v>1654</v>
      </c>
      <c r="K1120" s="1143">
        <v>30</v>
      </c>
      <c r="L1120" s="1143">
        <v>90000</v>
      </c>
      <c r="M1120" s="1143">
        <v>50</v>
      </c>
      <c r="N1120" s="1143">
        <v>120000</v>
      </c>
      <c r="O1120" s="1143">
        <v>80</v>
      </c>
      <c r="P1120" s="1143">
        <v>140000</v>
      </c>
      <c r="Q1120" s="1143">
        <v>100</v>
      </c>
      <c r="R1120" s="1143">
        <v>160000</v>
      </c>
      <c r="S1120" s="1143">
        <v>130</v>
      </c>
      <c r="T1120" s="1143">
        <v>180000</v>
      </c>
      <c r="U1120" s="1143">
        <v>150</v>
      </c>
      <c r="V1120" s="1143">
        <v>180000</v>
      </c>
      <c r="W1120" s="1436">
        <f>U1120+S1120+Q1120+O1120+M1120+K1120</f>
        <v>540</v>
      </c>
      <c r="X1120" s="885"/>
      <c r="Y1120" s="1593" t="s">
        <v>1687</v>
      </c>
    </row>
    <row r="1121" spans="2:25" ht="89.25" x14ac:dyDescent="0.25">
      <c r="B1121" s="2071"/>
      <c r="C1121" s="1966"/>
      <c r="D1121" s="1966"/>
      <c r="E1121" s="1966"/>
      <c r="F1121" s="232"/>
      <c r="G1121" s="173" t="s">
        <v>1825</v>
      </c>
      <c r="H1121" s="173" t="s">
        <v>1664</v>
      </c>
      <c r="I1121" s="1475" t="s">
        <v>19</v>
      </c>
      <c r="J1121" s="1480">
        <v>100</v>
      </c>
      <c r="K1121" s="1143">
        <v>100</v>
      </c>
      <c r="L1121" s="1143">
        <v>435000</v>
      </c>
      <c r="M1121" s="1143">
        <v>100</v>
      </c>
      <c r="N1121" s="1143">
        <v>435000</v>
      </c>
      <c r="O1121" s="1143">
        <v>100</v>
      </c>
      <c r="P1121" s="1143">
        <v>465000</v>
      </c>
      <c r="Q1121" s="1143">
        <v>100</v>
      </c>
      <c r="R1121" s="1143">
        <v>475000</v>
      </c>
      <c r="S1121" s="1143">
        <v>100</v>
      </c>
      <c r="T1121" s="1143">
        <v>505000</v>
      </c>
      <c r="U1121" s="1143">
        <v>100</v>
      </c>
      <c r="V1121" s="1143">
        <v>505000</v>
      </c>
      <c r="W1121" s="885">
        <v>100</v>
      </c>
      <c r="X1121" s="885"/>
      <c r="Y1121" s="1593" t="s">
        <v>1687</v>
      </c>
    </row>
    <row r="1122" spans="2:25" ht="76.5" x14ac:dyDescent="0.25">
      <c r="B1122" s="2071"/>
      <c r="C1122" s="1966"/>
      <c r="D1122" s="1966"/>
      <c r="E1122" s="1966"/>
      <c r="F1122" s="232"/>
      <c r="G1122" s="675" t="s">
        <v>1826</v>
      </c>
      <c r="H1122" s="675" t="s">
        <v>1662</v>
      </c>
      <c r="I1122" s="1729" t="s">
        <v>19</v>
      </c>
      <c r="J1122" s="1630" t="s">
        <v>1654</v>
      </c>
      <c r="K1122" s="859">
        <v>90</v>
      </c>
      <c r="L1122" s="859">
        <v>50000</v>
      </c>
      <c r="M1122" s="859">
        <v>90</v>
      </c>
      <c r="N1122" s="859">
        <v>70000</v>
      </c>
      <c r="O1122" s="859">
        <v>90</v>
      </c>
      <c r="P1122" s="859">
        <v>90000</v>
      </c>
      <c r="Q1122" s="859">
        <v>90</v>
      </c>
      <c r="R1122" s="859">
        <v>110000</v>
      </c>
      <c r="S1122" s="859">
        <v>90</v>
      </c>
      <c r="T1122" s="859">
        <v>130000</v>
      </c>
      <c r="U1122" s="859">
        <v>90</v>
      </c>
      <c r="V1122" s="859">
        <v>130000</v>
      </c>
      <c r="W1122" s="885">
        <v>90</v>
      </c>
      <c r="X1122" s="885"/>
      <c r="Y1122" s="1593" t="s">
        <v>1687</v>
      </c>
    </row>
    <row r="1123" spans="2:25" ht="63.75" x14ac:dyDescent="0.25">
      <c r="B1123" s="2071"/>
      <c r="C1123" s="1966"/>
      <c r="D1123" s="1966"/>
      <c r="E1123" s="1966"/>
      <c r="F1123" s="232"/>
      <c r="G1123" s="173" t="s">
        <v>1434</v>
      </c>
      <c r="H1123" s="173" t="s">
        <v>1663</v>
      </c>
      <c r="I1123" s="1475" t="s">
        <v>1432</v>
      </c>
      <c r="J1123" s="1480">
        <v>25</v>
      </c>
      <c r="K1123" s="1143">
        <v>5</v>
      </c>
      <c r="L1123" s="1143">
        <v>100000</v>
      </c>
      <c r="M1123" s="1143">
        <v>5</v>
      </c>
      <c r="N1123" s="1143">
        <v>100000</v>
      </c>
      <c r="O1123" s="1143">
        <v>5</v>
      </c>
      <c r="P1123" s="1143">
        <v>110000</v>
      </c>
      <c r="Q1123" s="1143">
        <v>5</v>
      </c>
      <c r="R1123" s="1143">
        <v>110000</v>
      </c>
      <c r="S1123" s="1143">
        <v>5</v>
      </c>
      <c r="T1123" s="1143">
        <v>120000</v>
      </c>
      <c r="U1123" s="1143">
        <v>5</v>
      </c>
      <c r="V1123" s="1143">
        <v>120000</v>
      </c>
      <c r="W1123" s="885">
        <v>30</v>
      </c>
      <c r="X1123" s="885"/>
      <c r="Y1123" s="1593" t="s">
        <v>1687</v>
      </c>
    </row>
    <row r="1124" spans="2:25" ht="89.25" x14ac:dyDescent="0.25">
      <c r="B1124" s="2071"/>
      <c r="C1124" s="1967"/>
      <c r="D1124" s="1967"/>
      <c r="E1124" s="1967"/>
      <c r="F1124" s="232"/>
      <c r="G1124" s="173" t="s">
        <v>1827</v>
      </c>
      <c r="H1124" s="173" t="s">
        <v>1665</v>
      </c>
      <c r="I1124" s="1475" t="s">
        <v>19</v>
      </c>
      <c r="J1124" s="1480">
        <v>70</v>
      </c>
      <c r="K1124" s="1143">
        <v>73</v>
      </c>
      <c r="L1124" s="1143">
        <v>450000</v>
      </c>
      <c r="M1124" s="1143">
        <v>76</v>
      </c>
      <c r="N1124" s="1143">
        <v>480000</v>
      </c>
      <c r="O1124" s="1143">
        <v>78</v>
      </c>
      <c r="P1124" s="1143">
        <v>515000</v>
      </c>
      <c r="Q1124" s="1143">
        <v>80</v>
      </c>
      <c r="R1124" s="1143">
        <v>535000</v>
      </c>
      <c r="S1124" s="1143">
        <v>82</v>
      </c>
      <c r="T1124" s="1143">
        <v>555000</v>
      </c>
      <c r="U1124" s="1143">
        <v>85</v>
      </c>
      <c r="V1124" s="1143">
        <v>555000</v>
      </c>
      <c r="W1124" s="885">
        <v>85</v>
      </c>
      <c r="X1124" s="885"/>
      <c r="Y1124" s="1593" t="s">
        <v>1687</v>
      </c>
    </row>
    <row r="1125" spans="2:25" ht="63.75" x14ac:dyDescent="0.25">
      <c r="B1125" s="2071"/>
      <c r="C1125" s="2013" t="s">
        <v>1358</v>
      </c>
      <c r="D1125" s="2013" t="s">
        <v>1359</v>
      </c>
      <c r="E1125" s="2013" t="s">
        <v>1360</v>
      </c>
      <c r="F1125" s="173" t="s">
        <v>1802</v>
      </c>
      <c r="G1125" s="173" t="s">
        <v>3178</v>
      </c>
      <c r="H1125" s="173" t="s">
        <v>1802</v>
      </c>
      <c r="I1125" s="1475" t="s">
        <v>19</v>
      </c>
      <c r="J1125" s="1480">
        <v>80</v>
      </c>
      <c r="K1125" s="1143">
        <v>80</v>
      </c>
      <c r="L1125" s="1143">
        <f>L1126</f>
        <v>300000</v>
      </c>
      <c r="M1125" s="1143">
        <v>80</v>
      </c>
      <c r="N1125" s="1143">
        <f>N1126</f>
        <v>300000</v>
      </c>
      <c r="O1125" s="1143">
        <v>80</v>
      </c>
      <c r="P1125" s="1143">
        <f>P1126</f>
        <v>350000</v>
      </c>
      <c r="Q1125" s="1143">
        <v>100</v>
      </c>
      <c r="R1125" s="1143">
        <f>R1126</f>
        <v>350000</v>
      </c>
      <c r="S1125" s="1143">
        <v>100</v>
      </c>
      <c r="T1125" s="1143">
        <f>T1126</f>
        <v>350000</v>
      </c>
      <c r="U1125" s="1143">
        <v>100</v>
      </c>
      <c r="V1125" s="1143">
        <f>V1126</f>
        <v>350000</v>
      </c>
      <c r="W1125" s="885">
        <v>100</v>
      </c>
      <c r="X1125" s="885"/>
      <c r="Y1125" s="1593" t="s">
        <v>1687</v>
      </c>
    </row>
    <row r="1126" spans="2:25" ht="38.25" x14ac:dyDescent="0.25">
      <c r="B1126" s="2072"/>
      <c r="C1126" s="2044"/>
      <c r="D1126" s="2044"/>
      <c r="E1126" s="2044"/>
      <c r="F1126" s="173"/>
      <c r="G1126" s="173" t="s">
        <v>1829</v>
      </c>
      <c r="H1126" s="173" t="s">
        <v>1802</v>
      </c>
      <c r="I1126" s="1475" t="s">
        <v>19</v>
      </c>
      <c r="J1126" s="1480">
        <v>80</v>
      </c>
      <c r="K1126" s="1143">
        <v>80</v>
      </c>
      <c r="L1126" s="1143">
        <v>300000</v>
      </c>
      <c r="M1126" s="1143">
        <v>80</v>
      </c>
      <c r="N1126" s="1143">
        <v>300000</v>
      </c>
      <c r="O1126" s="1143">
        <v>80</v>
      </c>
      <c r="P1126" s="1143">
        <v>350000</v>
      </c>
      <c r="Q1126" s="1143">
        <v>100</v>
      </c>
      <c r="R1126" s="1143">
        <v>350000</v>
      </c>
      <c r="S1126" s="1143">
        <v>100</v>
      </c>
      <c r="T1126" s="1143">
        <v>350000</v>
      </c>
      <c r="U1126" s="1143">
        <v>100</v>
      </c>
      <c r="V1126" s="1143">
        <v>350000</v>
      </c>
      <c r="W1126" s="885">
        <v>100</v>
      </c>
      <c r="X1126" s="1272"/>
      <c r="Y1126" s="1593" t="s">
        <v>1687</v>
      </c>
    </row>
    <row r="1127" spans="2:25" x14ac:dyDescent="0.25">
      <c r="B1127" s="229"/>
      <c r="C1127" s="167"/>
      <c r="D1127" s="167"/>
      <c r="E1127" s="167"/>
      <c r="F1127" s="675"/>
      <c r="G1127" s="173"/>
      <c r="H1127" s="675"/>
      <c r="I1127" s="1729"/>
      <c r="J1127" s="1630"/>
      <c r="K1127" s="859"/>
      <c r="L1127" s="859"/>
      <c r="M1127" s="859"/>
      <c r="N1127" s="859"/>
      <c r="O1127" s="859"/>
      <c r="P1127" s="859"/>
      <c r="Q1127" s="859"/>
      <c r="R1127" s="859"/>
      <c r="S1127" s="859"/>
      <c r="T1127" s="859"/>
      <c r="U1127" s="859"/>
      <c r="V1127" s="859"/>
      <c r="W1127" s="1272"/>
      <c r="X1127" s="1272"/>
      <c r="Y1127" s="1593" t="s">
        <v>1687</v>
      </c>
    </row>
    <row r="1128" spans="2:25" ht="63.75" customHeight="1" x14ac:dyDescent="0.25">
      <c r="B1128" s="2011" t="s">
        <v>120</v>
      </c>
      <c r="C1128" s="2013" t="s">
        <v>34</v>
      </c>
      <c r="D1128" s="2013" t="s">
        <v>3831</v>
      </c>
      <c r="E1128" s="2013" t="s">
        <v>3836</v>
      </c>
      <c r="F1128" s="173" t="s">
        <v>35</v>
      </c>
      <c r="G1128" s="173" t="s">
        <v>3133</v>
      </c>
      <c r="H1128" s="1479" t="s">
        <v>35</v>
      </c>
      <c r="I1128" s="1729" t="s">
        <v>19</v>
      </c>
      <c r="J1128" s="1630">
        <v>90</v>
      </c>
      <c r="K1128" s="859">
        <v>91</v>
      </c>
      <c r="L1128" s="859"/>
      <c r="M1128" s="859">
        <v>92</v>
      </c>
      <c r="N1128" s="859"/>
      <c r="O1128" s="859">
        <v>93</v>
      </c>
      <c r="P1128" s="859"/>
      <c r="Q1128" s="859">
        <v>94</v>
      </c>
      <c r="R1128" s="859"/>
      <c r="S1128" s="859">
        <v>95</v>
      </c>
      <c r="T1128" s="859"/>
      <c r="U1128" s="859">
        <v>96</v>
      </c>
      <c r="V1128" s="859"/>
      <c r="W1128" s="1275">
        <f>U1128</f>
        <v>96</v>
      </c>
      <c r="X1128" s="1272"/>
      <c r="Y1128" s="1593" t="s">
        <v>1687</v>
      </c>
    </row>
    <row r="1129" spans="2:25" ht="51" x14ac:dyDescent="0.25">
      <c r="B1129" s="2012"/>
      <c r="C1129" s="2014"/>
      <c r="D1129" s="2014"/>
      <c r="E1129" s="2014"/>
      <c r="F1129" s="674"/>
      <c r="G1129" s="173" t="s">
        <v>1831</v>
      </c>
      <c r="H1129" s="173" t="s">
        <v>1667</v>
      </c>
      <c r="I1129" s="1475" t="s">
        <v>19</v>
      </c>
      <c r="J1129" s="1480">
        <v>100</v>
      </c>
      <c r="K1129" s="1143">
        <v>20</v>
      </c>
      <c r="L1129" s="1143">
        <v>4789368</v>
      </c>
      <c r="M1129" s="1143">
        <v>20</v>
      </c>
      <c r="N1129" s="1143">
        <v>5272250</v>
      </c>
      <c r="O1129" s="1143">
        <v>15</v>
      </c>
      <c r="P1129" s="1143">
        <v>5325225</v>
      </c>
      <c r="Q1129" s="1143">
        <v>15</v>
      </c>
      <c r="R1129" s="1143">
        <v>5351517.5</v>
      </c>
      <c r="S1129" s="1143">
        <v>15</v>
      </c>
      <c r="T1129" s="1143">
        <v>5374139.25</v>
      </c>
      <c r="U1129" s="1143">
        <v>15</v>
      </c>
      <c r="V1129" s="1143">
        <v>5374139.25</v>
      </c>
      <c r="W1129" s="885">
        <v>100</v>
      </c>
      <c r="X1129" s="885"/>
      <c r="Y1129" s="1593" t="s">
        <v>1687</v>
      </c>
    </row>
    <row r="1130" spans="2:25" ht="63.75" x14ac:dyDescent="0.25">
      <c r="B1130" s="2012"/>
      <c r="C1130" s="2014"/>
      <c r="D1130" s="1742"/>
      <c r="E1130" s="674"/>
      <c r="F1130" s="674"/>
      <c r="G1130" s="173" t="s">
        <v>1835</v>
      </c>
      <c r="H1130" s="173" t="s">
        <v>1498</v>
      </c>
      <c r="I1130" s="1475" t="s">
        <v>19</v>
      </c>
      <c r="J1130" s="1480">
        <v>100</v>
      </c>
      <c r="K1130" s="1143">
        <v>20</v>
      </c>
      <c r="L1130" s="1143">
        <v>1585400</v>
      </c>
      <c r="M1130" s="1143">
        <v>20</v>
      </c>
      <c r="N1130" s="1143">
        <v>5743940</v>
      </c>
      <c r="O1130" s="1143">
        <v>15</v>
      </c>
      <c r="P1130" s="1143">
        <v>1859429</v>
      </c>
      <c r="Q1130" s="1143">
        <v>15</v>
      </c>
      <c r="R1130" s="1143">
        <v>1986983.1</v>
      </c>
      <c r="S1130" s="1143">
        <v>15</v>
      </c>
      <c r="T1130" s="1143">
        <v>2127372.4500000002</v>
      </c>
      <c r="U1130" s="1143">
        <v>15</v>
      </c>
      <c r="V1130" s="1143">
        <v>2127372.4500000002</v>
      </c>
      <c r="W1130" s="885">
        <v>100</v>
      </c>
      <c r="X1130" s="885"/>
      <c r="Y1130" s="1593" t="s">
        <v>1687</v>
      </c>
    </row>
    <row r="1131" spans="2:25" ht="51" x14ac:dyDescent="0.25">
      <c r="B1131" s="2012"/>
      <c r="C1131" s="674"/>
      <c r="D1131" s="674"/>
      <c r="E1131" s="674"/>
      <c r="F1131" s="1742"/>
      <c r="G1131" s="173" t="s">
        <v>1849</v>
      </c>
      <c r="H1131" s="173" t="s">
        <v>1850</v>
      </c>
      <c r="I1131" s="1475" t="s">
        <v>79</v>
      </c>
      <c r="J1131" s="1480">
        <v>25</v>
      </c>
      <c r="K1131" s="1143">
        <v>6</v>
      </c>
      <c r="L1131" s="1143">
        <v>100000</v>
      </c>
      <c r="M1131" s="1143">
        <v>5</v>
      </c>
      <c r="N1131" s="1143">
        <v>50000</v>
      </c>
      <c r="O1131" s="1143">
        <v>5</v>
      </c>
      <c r="P1131" s="1143">
        <v>50000</v>
      </c>
      <c r="Q1131" s="1143">
        <v>5</v>
      </c>
      <c r="R1131" s="1143">
        <v>50000</v>
      </c>
      <c r="S1131" s="1143">
        <v>5</v>
      </c>
      <c r="T1131" s="1143">
        <v>50000</v>
      </c>
      <c r="U1131" s="1143">
        <v>6</v>
      </c>
      <c r="V1131" s="1143">
        <v>100000</v>
      </c>
      <c r="W1131" s="1628">
        <v>31</v>
      </c>
      <c r="X1131" s="885"/>
      <c r="Y1131" s="1593" t="s">
        <v>1687</v>
      </c>
    </row>
    <row r="1132" spans="2:25" ht="38.25" x14ac:dyDescent="0.25">
      <c r="B1132" s="2012"/>
      <c r="C1132" s="674"/>
      <c r="D1132" s="674"/>
      <c r="E1132" s="674"/>
      <c r="F1132" s="1742"/>
      <c r="G1132" s="673" t="s">
        <v>1833</v>
      </c>
      <c r="H1132" s="673" t="s">
        <v>3141</v>
      </c>
      <c r="I1132" s="1727" t="s">
        <v>79</v>
      </c>
      <c r="J1132" s="942">
        <v>0</v>
      </c>
      <c r="K1132" s="857">
        <v>1</v>
      </c>
      <c r="L1132" s="857">
        <v>75000</v>
      </c>
      <c r="M1132" s="857">
        <v>1</v>
      </c>
      <c r="N1132" s="857">
        <v>80000</v>
      </c>
      <c r="O1132" s="857">
        <v>1</v>
      </c>
      <c r="P1132" s="1143">
        <v>85000</v>
      </c>
      <c r="Q1132" s="1143">
        <v>1</v>
      </c>
      <c r="R1132" s="1143">
        <v>90000</v>
      </c>
      <c r="S1132" s="1143">
        <v>1</v>
      </c>
      <c r="T1132" s="1143">
        <v>100000</v>
      </c>
      <c r="U1132" s="1143">
        <v>0</v>
      </c>
      <c r="V1132" s="1143">
        <v>0</v>
      </c>
      <c r="W1132" s="885">
        <v>5</v>
      </c>
      <c r="X1132" s="885"/>
      <c r="Y1132" s="1593" t="s">
        <v>1687</v>
      </c>
    </row>
    <row r="1133" spans="2:25" ht="89.25" x14ac:dyDescent="0.25">
      <c r="B1133" s="2012"/>
      <c r="C1133" s="674"/>
      <c r="D1133" s="674"/>
      <c r="E1133" s="674"/>
      <c r="F1133" s="1742"/>
      <c r="G1133" s="673" t="s">
        <v>1840</v>
      </c>
      <c r="H1133" s="173" t="s">
        <v>1676</v>
      </c>
      <c r="I1133" s="1475" t="s">
        <v>19</v>
      </c>
      <c r="J1133" s="1480">
        <v>100</v>
      </c>
      <c r="K1133" s="1143">
        <v>100</v>
      </c>
      <c r="L1133" s="1143">
        <v>275000</v>
      </c>
      <c r="M1133" s="1143">
        <v>100</v>
      </c>
      <c r="N1133" s="1143">
        <v>280000</v>
      </c>
      <c r="O1133" s="1143">
        <v>100</v>
      </c>
      <c r="P1133" s="1143">
        <v>300000</v>
      </c>
      <c r="Q1133" s="1143">
        <v>100</v>
      </c>
      <c r="R1133" s="1143">
        <v>350000</v>
      </c>
      <c r="S1133" s="1143">
        <v>100</v>
      </c>
      <c r="T1133" s="1143">
        <v>400000</v>
      </c>
      <c r="U1133" s="1143">
        <v>100</v>
      </c>
      <c r="V1133" s="1143">
        <v>400000</v>
      </c>
      <c r="W1133" s="885">
        <v>100</v>
      </c>
      <c r="X1133" s="885"/>
      <c r="Y1133" s="1593" t="s">
        <v>1687</v>
      </c>
    </row>
    <row r="1134" spans="2:25" ht="25.5" x14ac:dyDescent="0.25">
      <c r="B1134" s="2012"/>
      <c r="C1134" s="674"/>
      <c r="D1134" s="674"/>
      <c r="E1134" s="674"/>
      <c r="F1134" s="1742"/>
      <c r="G1134" s="173" t="s">
        <v>172</v>
      </c>
      <c r="H1134" s="173" t="s">
        <v>1668</v>
      </c>
      <c r="I1134" s="1475" t="s">
        <v>19</v>
      </c>
      <c r="J1134" s="1480">
        <v>100</v>
      </c>
      <c r="K1134" s="1143">
        <v>100</v>
      </c>
      <c r="L1134" s="1143">
        <v>1672750</v>
      </c>
      <c r="M1134" s="1143">
        <v>100</v>
      </c>
      <c r="N1134" s="1143">
        <v>1974150</v>
      </c>
      <c r="O1134" s="1143">
        <v>100</v>
      </c>
      <c r="P1134" s="1143">
        <v>2298650</v>
      </c>
      <c r="Q1134" s="1143">
        <v>100</v>
      </c>
      <c r="R1134" s="1143">
        <v>2473095.65</v>
      </c>
      <c r="S1134" s="1143">
        <v>100</v>
      </c>
      <c r="T1134" s="1143">
        <v>2507555.21</v>
      </c>
      <c r="U1134" s="1143">
        <v>100</v>
      </c>
      <c r="V1134" s="1143">
        <v>2507555.21</v>
      </c>
      <c r="W1134" s="1628">
        <v>100</v>
      </c>
      <c r="X1134" s="885"/>
      <c r="Y1134" s="1593" t="s">
        <v>1687</v>
      </c>
    </row>
    <row r="1135" spans="2:25" ht="76.5" x14ac:dyDescent="0.25">
      <c r="B1135" s="2012"/>
      <c r="C1135" s="674"/>
      <c r="D1135" s="674"/>
      <c r="E1135" s="674"/>
      <c r="F1135" s="1742"/>
      <c r="G1135" s="173" t="s">
        <v>1836</v>
      </c>
      <c r="H1135" s="173" t="s">
        <v>3172</v>
      </c>
      <c r="I1135" s="1475" t="s">
        <v>75</v>
      </c>
      <c r="J1135" s="1480">
        <v>0</v>
      </c>
      <c r="K1135" s="1143">
        <v>29</v>
      </c>
      <c r="L1135" s="1143">
        <v>896000</v>
      </c>
      <c r="M1135" s="1143">
        <v>29</v>
      </c>
      <c r="N1135" s="1143">
        <v>1082000</v>
      </c>
      <c r="O1135" s="1143">
        <v>29</v>
      </c>
      <c r="P1135" s="1143">
        <v>1765000</v>
      </c>
      <c r="Q1135" s="1143">
        <v>29</v>
      </c>
      <c r="R1135" s="1143">
        <v>1160000</v>
      </c>
      <c r="S1135" s="1143">
        <v>29</v>
      </c>
      <c r="T1135" s="1143">
        <v>1613000</v>
      </c>
      <c r="U1135" s="1143">
        <v>29</v>
      </c>
      <c r="V1135" s="1143">
        <v>1613000</v>
      </c>
      <c r="W1135" s="885">
        <v>29</v>
      </c>
      <c r="X1135" s="885"/>
      <c r="Y1135" s="1593" t="s">
        <v>1687</v>
      </c>
    </row>
    <row r="1136" spans="2:25" ht="63.75" x14ac:dyDescent="0.25">
      <c r="B1136" s="2012"/>
      <c r="C1136" s="674"/>
      <c r="D1136" s="674"/>
      <c r="E1136" s="674"/>
      <c r="F1136" s="1742"/>
      <c r="G1136" s="173" t="s">
        <v>1837</v>
      </c>
      <c r="H1136" s="173" t="s">
        <v>1671</v>
      </c>
      <c r="I1136" s="1475" t="s">
        <v>19</v>
      </c>
      <c r="J1136" s="1480">
        <v>100</v>
      </c>
      <c r="K1136" s="1143">
        <v>100</v>
      </c>
      <c r="L1136" s="1143">
        <v>1000000</v>
      </c>
      <c r="M1136" s="1143">
        <v>100</v>
      </c>
      <c r="N1136" s="1143">
        <v>1250000</v>
      </c>
      <c r="O1136" s="1143">
        <v>100</v>
      </c>
      <c r="P1136" s="1143">
        <v>2500000</v>
      </c>
      <c r="Q1136" s="1143">
        <v>100</v>
      </c>
      <c r="R1136" s="1143">
        <v>2650000</v>
      </c>
      <c r="S1136" s="1143">
        <v>100</v>
      </c>
      <c r="T1136" s="1143">
        <v>2700000</v>
      </c>
      <c r="U1136" s="1143">
        <v>500</v>
      </c>
      <c r="V1136" s="1143">
        <v>2700000</v>
      </c>
      <c r="W1136" s="885">
        <v>100</v>
      </c>
      <c r="X1136" s="885"/>
      <c r="Y1136" s="1593" t="s">
        <v>1687</v>
      </c>
    </row>
    <row r="1137" spans="2:25" ht="51" x14ac:dyDescent="0.25">
      <c r="B1137" s="2012"/>
      <c r="C1137" s="674"/>
      <c r="D1137" s="674"/>
      <c r="E1137" s="674"/>
      <c r="F1137" s="1742"/>
      <c r="G1137" s="1477" t="s">
        <v>1838</v>
      </c>
      <c r="H1137" s="173" t="s">
        <v>1672</v>
      </c>
      <c r="I1137" s="1475" t="s">
        <v>3173</v>
      </c>
      <c r="J1137" s="1480">
        <v>3</v>
      </c>
      <c r="K1137" s="1480">
        <v>3</v>
      </c>
      <c r="L1137" s="1480">
        <v>630000</v>
      </c>
      <c r="M1137" s="1480">
        <v>3</v>
      </c>
      <c r="N1137" s="1480">
        <v>492000</v>
      </c>
      <c r="O1137" s="1480">
        <v>3</v>
      </c>
      <c r="P1137" s="1480">
        <v>510000</v>
      </c>
      <c r="Q1137" s="1480">
        <v>3</v>
      </c>
      <c r="R1137" s="1480">
        <v>525000</v>
      </c>
      <c r="S1137" s="1480">
        <v>3</v>
      </c>
      <c r="T1137" s="1480">
        <v>600000</v>
      </c>
      <c r="U1137" s="1480">
        <v>3</v>
      </c>
      <c r="V1137" s="1480">
        <v>600000</v>
      </c>
      <c r="W1137" s="885">
        <v>3</v>
      </c>
      <c r="X1137" s="885"/>
      <c r="Y1137" s="1593" t="s">
        <v>1687</v>
      </c>
    </row>
    <row r="1138" spans="2:25" ht="63.75" x14ac:dyDescent="0.25">
      <c r="B1138" s="2012"/>
      <c r="C1138" s="674"/>
      <c r="D1138" s="674"/>
      <c r="E1138" s="674"/>
      <c r="F1138" s="1742"/>
      <c r="G1138" s="173" t="s">
        <v>1832</v>
      </c>
      <c r="H1138" s="173" t="s">
        <v>1669</v>
      </c>
      <c r="I1138" s="1475" t="s">
        <v>40</v>
      </c>
      <c r="J1138" s="1480">
        <v>12</v>
      </c>
      <c r="K1138" s="1143">
        <v>12</v>
      </c>
      <c r="L1138" s="1143">
        <v>330000</v>
      </c>
      <c r="M1138" s="1143">
        <v>12</v>
      </c>
      <c r="N1138" s="1143">
        <v>363000</v>
      </c>
      <c r="O1138" s="1143">
        <v>12</v>
      </c>
      <c r="P1138" s="1143">
        <v>399300</v>
      </c>
      <c r="Q1138" s="1143">
        <v>12</v>
      </c>
      <c r="R1138" s="1143">
        <v>439230</v>
      </c>
      <c r="S1138" s="1143">
        <v>12</v>
      </c>
      <c r="T1138" s="1143">
        <v>483153</v>
      </c>
      <c r="U1138" s="1143">
        <v>12</v>
      </c>
      <c r="V1138" s="1143">
        <v>483153</v>
      </c>
      <c r="W1138" s="885">
        <v>60</v>
      </c>
      <c r="X1138" s="885"/>
      <c r="Y1138" s="1593" t="s">
        <v>1687</v>
      </c>
    </row>
    <row r="1139" spans="2:25" ht="51" x14ac:dyDescent="0.25">
      <c r="B1139" s="2012"/>
      <c r="C1139" s="674"/>
      <c r="D1139" s="674"/>
      <c r="E1139" s="674"/>
      <c r="F1139" s="232"/>
      <c r="G1139" s="173"/>
      <c r="H1139" s="173" t="s">
        <v>1685</v>
      </c>
      <c r="I1139" s="1475" t="s">
        <v>19</v>
      </c>
      <c r="J1139" s="1480"/>
      <c r="K1139" s="1143">
        <v>3</v>
      </c>
      <c r="L1139" s="1143">
        <v>135000</v>
      </c>
      <c r="M1139" s="1143">
        <v>3</v>
      </c>
      <c r="N1139" s="1143">
        <v>175000</v>
      </c>
      <c r="O1139" s="1143">
        <v>3</v>
      </c>
      <c r="P1139" s="1143">
        <v>175000</v>
      </c>
      <c r="Q1139" s="1143">
        <v>3</v>
      </c>
      <c r="R1139" s="1143">
        <v>200000</v>
      </c>
      <c r="S1139" s="1143">
        <v>3</v>
      </c>
      <c r="T1139" s="1143">
        <v>200000</v>
      </c>
      <c r="U1139" s="1143">
        <v>3</v>
      </c>
      <c r="V1139" s="1143">
        <v>200000</v>
      </c>
      <c r="W1139" s="885">
        <v>3</v>
      </c>
      <c r="X1139" s="885"/>
      <c r="Y1139" s="1593" t="s">
        <v>1687</v>
      </c>
    </row>
    <row r="1140" spans="2:25" ht="178.5" x14ac:dyDescent="0.25">
      <c r="B1140" s="2012"/>
      <c r="C1140" s="674"/>
      <c r="D1140" s="674"/>
      <c r="E1140" s="674"/>
      <c r="F1140" s="232"/>
      <c r="G1140" s="1477" t="s">
        <v>1828</v>
      </c>
      <c r="H1140" s="173" t="s">
        <v>1686</v>
      </c>
      <c r="I1140" s="1475" t="s">
        <v>19</v>
      </c>
      <c r="J1140" s="1480"/>
      <c r="K1140" s="1143">
        <v>100</v>
      </c>
      <c r="L1140" s="1143">
        <v>1697000</v>
      </c>
      <c r="M1140" s="1143">
        <v>100</v>
      </c>
      <c r="N1140" s="1143">
        <v>1835000</v>
      </c>
      <c r="O1140" s="1143">
        <v>100</v>
      </c>
      <c r="P1140" s="1143">
        <v>1862000</v>
      </c>
      <c r="Q1140" s="1143">
        <v>100</v>
      </c>
      <c r="R1140" s="1143">
        <v>2050000</v>
      </c>
      <c r="S1140" s="1143">
        <v>100</v>
      </c>
      <c r="T1140" s="1143">
        <v>2160000</v>
      </c>
      <c r="U1140" s="1143">
        <v>100</v>
      </c>
      <c r="V1140" s="1143">
        <v>2160000</v>
      </c>
      <c r="W1140" s="885">
        <v>100</v>
      </c>
      <c r="X1140" s="885"/>
      <c r="Y1140" s="1593" t="s">
        <v>1687</v>
      </c>
    </row>
    <row r="1141" spans="2:25" ht="51" x14ac:dyDescent="0.25">
      <c r="B1141" s="2012"/>
      <c r="C1141" s="674"/>
      <c r="D1141" s="674"/>
      <c r="E1141" s="674"/>
      <c r="F1141" s="1742"/>
      <c r="G1141" s="173" t="s">
        <v>1847</v>
      </c>
      <c r="H1141" s="173" t="s">
        <v>1684</v>
      </c>
      <c r="I1141" s="1475" t="s">
        <v>19</v>
      </c>
      <c r="J1141" s="1480">
        <v>100</v>
      </c>
      <c r="K1141" s="1143">
        <v>0</v>
      </c>
      <c r="L1141" s="1143">
        <v>0</v>
      </c>
      <c r="M1141" s="1143">
        <v>100</v>
      </c>
      <c r="N1141" s="1143">
        <v>25000</v>
      </c>
      <c r="O1141" s="1143">
        <v>100</v>
      </c>
      <c r="P1141" s="1143">
        <v>25000</v>
      </c>
      <c r="Q1141" s="1143">
        <v>100</v>
      </c>
      <c r="R1141" s="1143">
        <v>30000</v>
      </c>
      <c r="S1141" s="1143">
        <v>100</v>
      </c>
      <c r="T1141" s="1143">
        <v>30000</v>
      </c>
      <c r="U1141" s="1143">
        <v>100</v>
      </c>
      <c r="V1141" s="1143">
        <v>30000</v>
      </c>
      <c r="W1141" s="885">
        <v>100</v>
      </c>
      <c r="X1141" s="885"/>
      <c r="Y1141" s="1593" t="s">
        <v>1687</v>
      </c>
    </row>
    <row r="1142" spans="2:25" ht="38.25" x14ac:dyDescent="0.25">
      <c r="B1142" s="2012"/>
      <c r="C1142" s="674"/>
      <c r="D1142" s="674"/>
      <c r="E1142" s="674"/>
      <c r="F1142" s="1742"/>
      <c r="G1142" s="173" t="s">
        <v>1843</v>
      </c>
      <c r="H1142" s="173" t="s">
        <v>1679</v>
      </c>
      <c r="I1142" s="1475" t="s">
        <v>19</v>
      </c>
      <c r="J1142" s="1480">
        <v>100</v>
      </c>
      <c r="K1142" s="1143">
        <v>100</v>
      </c>
      <c r="L1142" s="1143">
        <v>75000</v>
      </c>
      <c r="M1142" s="1143">
        <v>100</v>
      </c>
      <c r="N1142" s="1143">
        <v>90000</v>
      </c>
      <c r="O1142" s="1143">
        <v>100</v>
      </c>
      <c r="P1142" s="1143">
        <v>95000</v>
      </c>
      <c r="Q1142" s="1143">
        <v>100</v>
      </c>
      <c r="R1142" s="1143">
        <v>105000</v>
      </c>
      <c r="S1142" s="1143">
        <v>100</v>
      </c>
      <c r="T1142" s="1143">
        <v>110000</v>
      </c>
      <c r="U1142" s="1143">
        <v>100</v>
      </c>
      <c r="V1142" s="1143">
        <v>110000</v>
      </c>
      <c r="W1142" s="885">
        <v>100</v>
      </c>
      <c r="X1142" s="885"/>
      <c r="Y1142" s="1593" t="s">
        <v>1687</v>
      </c>
    </row>
    <row r="1143" spans="2:25" ht="63.75" x14ac:dyDescent="0.25">
      <c r="B1143" s="2012"/>
      <c r="C1143" s="674"/>
      <c r="D1143" s="674"/>
      <c r="E1143" s="674"/>
      <c r="F1143" s="1742"/>
      <c r="G1143" s="173" t="s">
        <v>1844</v>
      </c>
      <c r="H1143" s="173" t="s">
        <v>1680</v>
      </c>
      <c r="I1143" s="1475" t="s">
        <v>19</v>
      </c>
      <c r="J1143" s="1480">
        <v>100</v>
      </c>
      <c r="K1143" s="1143">
        <v>50</v>
      </c>
      <c r="L1143" s="1143">
        <v>402000.7</v>
      </c>
      <c r="M1143" s="1143">
        <v>56</v>
      </c>
      <c r="N1143" s="1143">
        <v>1380000</v>
      </c>
      <c r="O1143" s="1143">
        <v>62</v>
      </c>
      <c r="P1143" s="1143">
        <v>1580000</v>
      </c>
      <c r="Q1143" s="1143">
        <v>68</v>
      </c>
      <c r="R1143" s="1143">
        <v>1890000</v>
      </c>
      <c r="S1143" s="1143">
        <v>72</v>
      </c>
      <c r="T1143" s="1143">
        <v>2640000</v>
      </c>
      <c r="U1143" s="1143">
        <v>80</v>
      </c>
      <c r="V1143" s="1143">
        <v>2640000</v>
      </c>
      <c r="W1143" s="885">
        <v>80</v>
      </c>
      <c r="X1143" s="885"/>
      <c r="Y1143" s="1593" t="s">
        <v>1687</v>
      </c>
    </row>
    <row r="1144" spans="2:25" ht="38.25" x14ac:dyDescent="0.25">
      <c r="B1144" s="2012"/>
      <c r="C1144" s="674"/>
      <c r="D1144" s="674"/>
      <c r="E1144" s="674"/>
      <c r="F1144" s="1742"/>
      <c r="G1144" s="173" t="s">
        <v>1842</v>
      </c>
      <c r="H1144" s="173" t="s">
        <v>1678</v>
      </c>
      <c r="I1144" s="1475" t="s">
        <v>19</v>
      </c>
      <c r="J1144" s="1480" t="s">
        <v>1654</v>
      </c>
      <c r="K1144" s="1143">
        <v>80</v>
      </c>
      <c r="L1144" s="1143">
        <v>0</v>
      </c>
      <c r="M1144" s="1143">
        <v>80</v>
      </c>
      <c r="N1144" s="1143">
        <v>50000</v>
      </c>
      <c r="O1144" s="1143">
        <v>80</v>
      </c>
      <c r="P1144" s="1143">
        <v>50000</v>
      </c>
      <c r="Q1144" s="1143">
        <v>80</v>
      </c>
      <c r="R1144" s="1143">
        <v>50000</v>
      </c>
      <c r="S1144" s="1143">
        <v>80</v>
      </c>
      <c r="T1144" s="1143">
        <v>50000</v>
      </c>
      <c r="U1144" s="1143">
        <v>80</v>
      </c>
      <c r="V1144" s="1143">
        <v>50000</v>
      </c>
      <c r="W1144" s="885">
        <v>80</v>
      </c>
      <c r="X1144" s="885"/>
      <c r="Y1144" s="1593" t="s">
        <v>1687</v>
      </c>
    </row>
    <row r="1145" spans="2:25" ht="51" x14ac:dyDescent="0.25">
      <c r="B1145" s="2012"/>
      <c r="C1145" s="674"/>
      <c r="D1145" s="674"/>
      <c r="E1145" s="674"/>
      <c r="F1145" s="1742"/>
      <c r="G1145" s="173" t="s">
        <v>1841</v>
      </c>
      <c r="H1145" s="173" t="s">
        <v>1677</v>
      </c>
      <c r="I1145" s="1475" t="s">
        <v>19</v>
      </c>
      <c r="J1145" s="1480">
        <v>100</v>
      </c>
      <c r="K1145" s="1143">
        <v>100</v>
      </c>
      <c r="L1145" s="1143">
        <v>2320000</v>
      </c>
      <c r="M1145" s="1143">
        <v>100</v>
      </c>
      <c r="N1145" s="1143">
        <v>4531000</v>
      </c>
      <c r="O1145" s="1143">
        <v>100</v>
      </c>
      <c r="P1145" s="1143">
        <v>4670000</v>
      </c>
      <c r="Q1145" s="1143">
        <v>100</v>
      </c>
      <c r="R1145" s="1143">
        <v>4780000</v>
      </c>
      <c r="S1145" s="1143">
        <v>100</v>
      </c>
      <c r="T1145" s="1143">
        <v>4890000</v>
      </c>
      <c r="U1145" s="1143">
        <v>100</v>
      </c>
      <c r="V1145" s="1143">
        <v>4890000</v>
      </c>
      <c r="W1145" s="885">
        <v>100</v>
      </c>
      <c r="X1145" s="885"/>
      <c r="Y1145" s="1593" t="s">
        <v>1687</v>
      </c>
    </row>
    <row r="1146" spans="2:25" ht="89.25" x14ac:dyDescent="0.25">
      <c r="B1146" s="2012"/>
      <c r="C1146" s="674"/>
      <c r="D1146" s="674"/>
      <c r="E1146" s="674"/>
      <c r="F1146" s="1742"/>
      <c r="G1146" s="173" t="s">
        <v>3061</v>
      </c>
      <c r="H1146" s="173" t="s">
        <v>1674</v>
      </c>
      <c r="I1146" s="1475" t="s">
        <v>19</v>
      </c>
      <c r="J1146" s="1480">
        <v>60</v>
      </c>
      <c r="K1146" s="1143"/>
      <c r="L1146" s="1143">
        <v>0</v>
      </c>
      <c r="M1146" s="1143">
        <v>70</v>
      </c>
      <c r="N1146" s="1143">
        <v>35000</v>
      </c>
      <c r="O1146" s="1143">
        <v>80</v>
      </c>
      <c r="P1146" s="1143">
        <v>25000</v>
      </c>
      <c r="Q1146" s="1143">
        <v>90</v>
      </c>
      <c r="R1146" s="1143">
        <v>25000</v>
      </c>
      <c r="S1146" s="1143"/>
      <c r="T1146" s="1143">
        <v>0</v>
      </c>
      <c r="U1146" s="1143">
        <v>100</v>
      </c>
      <c r="V1146" s="1143">
        <v>0</v>
      </c>
      <c r="W1146" s="885">
        <v>100</v>
      </c>
      <c r="X1146" s="885"/>
      <c r="Y1146" s="1593" t="s">
        <v>1687</v>
      </c>
    </row>
    <row r="1147" spans="2:25" ht="76.5" x14ac:dyDescent="0.25">
      <c r="B1147" s="2012"/>
      <c r="C1147" s="674"/>
      <c r="D1147" s="674"/>
      <c r="E1147" s="674"/>
      <c r="F1147" s="1742"/>
      <c r="G1147" s="2013" t="s">
        <v>1830</v>
      </c>
      <c r="H1147" s="173" t="s">
        <v>1675</v>
      </c>
      <c r="I1147" s="1475" t="s">
        <v>19</v>
      </c>
      <c r="J1147" s="1480">
        <v>100</v>
      </c>
      <c r="K1147" s="1143">
        <v>100</v>
      </c>
      <c r="L1147" s="1143">
        <v>360000</v>
      </c>
      <c r="M1147" s="1143">
        <v>100</v>
      </c>
      <c r="N1147" s="1143">
        <v>360000</v>
      </c>
      <c r="O1147" s="1143">
        <v>100</v>
      </c>
      <c r="P1147" s="1143">
        <v>390000</v>
      </c>
      <c r="Q1147" s="1143">
        <v>100</v>
      </c>
      <c r="R1147" s="1143">
        <v>420000</v>
      </c>
      <c r="S1147" s="1143">
        <v>100</v>
      </c>
      <c r="T1147" s="1143">
        <v>450000</v>
      </c>
      <c r="U1147" s="1143">
        <v>100</v>
      </c>
      <c r="V1147" s="1143">
        <v>450000</v>
      </c>
      <c r="W1147" s="885">
        <v>100</v>
      </c>
      <c r="X1147" s="885"/>
      <c r="Y1147" s="1593" t="s">
        <v>1687</v>
      </c>
    </row>
    <row r="1148" spans="2:25" ht="51" x14ac:dyDescent="0.25">
      <c r="B1148" s="2012"/>
      <c r="C1148" s="674"/>
      <c r="D1148" s="674"/>
      <c r="E1148" s="674"/>
      <c r="F1148" s="1742"/>
      <c r="G1148" s="2044"/>
      <c r="H1148" s="173" t="s">
        <v>1670</v>
      </c>
      <c r="I1148" s="1475" t="s">
        <v>79</v>
      </c>
      <c r="J1148" s="1480">
        <v>1</v>
      </c>
      <c r="K1148" s="1143">
        <v>2</v>
      </c>
      <c r="L1148" s="1143">
        <v>150000</v>
      </c>
      <c r="M1148" s="1143">
        <v>3</v>
      </c>
      <c r="N1148" s="1143">
        <v>170000</v>
      </c>
      <c r="O1148" s="1143">
        <v>6</v>
      </c>
      <c r="P1148" s="1143">
        <v>190000</v>
      </c>
      <c r="Q1148" s="1143">
        <v>8</v>
      </c>
      <c r="R1148" s="1143">
        <v>190000</v>
      </c>
      <c r="S1148" s="1143">
        <v>9</v>
      </c>
      <c r="T1148" s="1143">
        <v>200000</v>
      </c>
      <c r="U1148" s="1143">
        <v>9</v>
      </c>
      <c r="V1148" s="1143">
        <v>200000</v>
      </c>
      <c r="W1148" s="1436">
        <f>U1148+S1148+Q1148+O1148+M1148+K1148</f>
        <v>37</v>
      </c>
      <c r="X1148" s="885"/>
      <c r="Y1148" s="1593" t="s">
        <v>1687</v>
      </c>
    </row>
    <row r="1149" spans="2:25" ht="63.75" x14ac:dyDescent="0.25">
      <c r="B1149" s="2012"/>
      <c r="C1149" s="674"/>
      <c r="D1149" s="674"/>
      <c r="E1149" s="674"/>
      <c r="F1149" s="1742"/>
      <c r="G1149" s="673" t="s">
        <v>1839</v>
      </c>
      <c r="H1149" s="173" t="s">
        <v>1673</v>
      </c>
      <c r="I1149" s="1475" t="s">
        <v>19</v>
      </c>
      <c r="J1149" s="1480">
        <v>100</v>
      </c>
      <c r="K1149" s="1143">
        <v>100</v>
      </c>
      <c r="L1149" s="1143">
        <v>250000</v>
      </c>
      <c r="M1149" s="1143">
        <v>100</v>
      </c>
      <c r="N1149" s="1143">
        <v>300000</v>
      </c>
      <c r="O1149" s="1143">
        <v>100</v>
      </c>
      <c r="P1149" s="1143">
        <v>300000</v>
      </c>
      <c r="Q1149" s="1143">
        <v>100</v>
      </c>
      <c r="R1149" s="1143">
        <v>350000</v>
      </c>
      <c r="S1149" s="1143">
        <v>100</v>
      </c>
      <c r="T1149" s="1143">
        <v>350000</v>
      </c>
      <c r="U1149" s="1143">
        <v>100</v>
      </c>
      <c r="V1149" s="1143">
        <v>350000</v>
      </c>
      <c r="W1149" s="885">
        <v>100</v>
      </c>
      <c r="X1149" s="885"/>
      <c r="Y1149" s="1593" t="s">
        <v>1687</v>
      </c>
    </row>
    <row r="1150" spans="2:25" ht="38.25" x14ac:dyDescent="0.25">
      <c r="B1150" s="2012"/>
      <c r="C1150" s="674"/>
      <c r="D1150" s="674"/>
      <c r="E1150" s="674"/>
      <c r="F1150" s="1742"/>
      <c r="G1150" s="675"/>
      <c r="H1150" s="173" t="s">
        <v>1681</v>
      </c>
      <c r="I1150" s="1475" t="s">
        <v>19</v>
      </c>
      <c r="J1150" s="1480">
        <v>100</v>
      </c>
      <c r="K1150" s="1143"/>
      <c r="L1150" s="1143">
        <v>0</v>
      </c>
      <c r="M1150" s="1143"/>
      <c r="N1150" s="1143">
        <v>0</v>
      </c>
      <c r="O1150" s="1143">
        <v>100</v>
      </c>
      <c r="P1150" s="1143">
        <v>75000</v>
      </c>
      <c r="Q1150" s="1143">
        <v>100</v>
      </c>
      <c r="R1150" s="1143">
        <v>100000</v>
      </c>
      <c r="S1150" s="1143">
        <v>100</v>
      </c>
      <c r="T1150" s="1143">
        <v>75000</v>
      </c>
      <c r="U1150" s="1143">
        <v>100</v>
      </c>
      <c r="V1150" s="1143">
        <v>75000</v>
      </c>
      <c r="W1150" s="885">
        <v>100</v>
      </c>
      <c r="X1150" s="885"/>
      <c r="Y1150" s="1593" t="s">
        <v>1687</v>
      </c>
    </row>
    <row r="1151" spans="2:25" ht="38.25" x14ac:dyDescent="0.25">
      <c r="B1151" s="2012"/>
      <c r="C1151" s="674"/>
      <c r="D1151" s="674"/>
      <c r="E1151" s="674"/>
      <c r="F1151" s="1742"/>
      <c r="G1151" s="173" t="s">
        <v>1845</v>
      </c>
      <c r="H1151" s="173" t="s">
        <v>1682</v>
      </c>
      <c r="I1151" s="1475" t="s">
        <v>19</v>
      </c>
      <c r="J1151" s="1480">
        <v>100</v>
      </c>
      <c r="K1151" s="1143">
        <v>100</v>
      </c>
      <c r="L1151" s="1143">
        <v>30000</v>
      </c>
      <c r="M1151" s="1143">
        <v>100</v>
      </c>
      <c r="N1151" s="1143">
        <v>1350000</v>
      </c>
      <c r="O1151" s="1143">
        <v>100</v>
      </c>
      <c r="P1151" s="1143">
        <v>600000</v>
      </c>
      <c r="Q1151" s="1143">
        <v>100</v>
      </c>
      <c r="R1151" s="1143">
        <v>8250000</v>
      </c>
      <c r="S1151" s="1143">
        <v>100</v>
      </c>
      <c r="T1151" s="1143">
        <v>90000</v>
      </c>
      <c r="U1151" s="1143">
        <v>100</v>
      </c>
      <c r="V1151" s="1143">
        <v>90000</v>
      </c>
      <c r="W1151" s="885">
        <v>100</v>
      </c>
      <c r="X1151" s="885"/>
      <c r="Y1151" s="1593" t="s">
        <v>1687</v>
      </c>
    </row>
    <row r="1152" spans="2:25" ht="63.75" x14ac:dyDescent="0.25">
      <c r="B1152" s="2012"/>
      <c r="C1152" s="674"/>
      <c r="D1152" s="674"/>
      <c r="E1152" s="674"/>
      <c r="F1152" s="1742"/>
      <c r="G1152" s="173" t="s">
        <v>1846</v>
      </c>
      <c r="H1152" s="173" t="s">
        <v>1683</v>
      </c>
      <c r="I1152" s="1475" t="s">
        <v>19</v>
      </c>
      <c r="J1152" s="1480" t="s">
        <v>1654</v>
      </c>
      <c r="K1152" s="1143">
        <v>100</v>
      </c>
      <c r="L1152" s="1143">
        <v>90000</v>
      </c>
      <c r="M1152" s="1143"/>
      <c r="N1152" s="1143">
        <v>0</v>
      </c>
      <c r="O1152" s="1143"/>
      <c r="P1152" s="1143">
        <v>0</v>
      </c>
      <c r="Q1152" s="1143"/>
      <c r="R1152" s="1143">
        <v>0</v>
      </c>
      <c r="S1152" s="1143"/>
      <c r="T1152" s="1143">
        <v>0</v>
      </c>
      <c r="U1152" s="1143"/>
      <c r="V1152" s="1143">
        <v>0</v>
      </c>
      <c r="W1152" s="885">
        <v>100</v>
      </c>
      <c r="X1152" s="885"/>
      <c r="Y1152" s="1593" t="s">
        <v>1687</v>
      </c>
    </row>
    <row r="1153" spans="2:25" ht="38.25" x14ac:dyDescent="0.25">
      <c r="B1153" s="2012"/>
      <c r="C1153" s="675"/>
      <c r="D1153" s="675"/>
      <c r="E1153" s="675"/>
      <c r="F1153" s="1742"/>
      <c r="G1153" s="1477" t="s">
        <v>1834</v>
      </c>
      <c r="H1153" s="1476" t="s">
        <v>1803</v>
      </c>
      <c r="I1153" s="1475" t="s">
        <v>19</v>
      </c>
      <c r="J1153" s="163">
        <v>20.53</v>
      </c>
      <c r="K1153" s="1730">
        <v>21.53</v>
      </c>
      <c r="L1153" s="1143">
        <v>200000</v>
      </c>
      <c r="M1153" s="1730">
        <v>22.53</v>
      </c>
      <c r="N1153" s="1143">
        <v>250000</v>
      </c>
      <c r="O1153" s="1730">
        <v>23.53</v>
      </c>
      <c r="P1153" s="1143">
        <v>250000</v>
      </c>
      <c r="Q1153" s="1730">
        <v>24.53</v>
      </c>
      <c r="R1153" s="1143">
        <v>200000</v>
      </c>
      <c r="S1153" s="1730">
        <v>25.53</v>
      </c>
      <c r="T1153" s="1143">
        <v>200000</v>
      </c>
      <c r="U1153" s="1730">
        <v>26.53</v>
      </c>
      <c r="V1153" s="1143">
        <v>200000</v>
      </c>
      <c r="W1153" s="1260">
        <f>U1153</f>
        <v>26.53</v>
      </c>
      <c r="X1153" s="1731"/>
      <c r="Y1153" s="1593" t="s">
        <v>1687</v>
      </c>
    </row>
    <row r="1154" spans="2:25" ht="13.5" thickBot="1" x14ac:dyDescent="0.3">
      <c r="B1154" s="866" t="s">
        <v>1848</v>
      </c>
      <c r="C1154" s="233"/>
      <c r="D1154" s="233"/>
      <c r="E1154" s="233"/>
      <c r="F1154" s="230"/>
      <c r="G1154" s="233"/>
      <c r="H1154" s="233"/>
      <c r="I1154" s="1724"/>
      <c r="J1154" s="1631"/>
      <c r="K1154" s="1723"/>
      <c r="L1154" s="1723">
        <f>SUM(L1106:L1153)</f>
        <v>19387518.699999999</v>
      </c>
      <c r="M1154" s="1723"/>
      <c r="N1154" s="1723">
        <f>SUM(N1106:N1153)</f>
        <v>29968341</v>
      </c>
      <c r="O1154" s="1723"/>
      <c r="P1154" s="1723">
        <f>SUM(P1106:P1153)</f>
        <v>28254604</v>
      </c>
      <c r="Q1154" s="1723"/>
      <c r="R1154" s="1723">
        <f>SUM(R1106:R1153)</f>
        <v>36745826.25</v>
      </c>
      <c r="S1154" s="1723"/>
      <c r="T1154" s="1723">
        <f>SUM(T1106:T1153)</f>
        <v>30575219.91</v>
      </c>
      <c r="U1154" s="1723"/>
      <c r="V1154" s="1723">
        <f>SUM(V1106:V1153)</f>
        <v>30525219.91</v>
      </c>
      <c r="W1154" s="892"/>
      <c r="X1154" s="892"/>
      <c r="Y1154" s="1732"/>
    </row>
    <row r="1155" spans="2:25" ht="13.5" thickTop="1" x14ac:dyDescent="0.25"/>
  </sheetData>
  <mergeCells count="510">
    <mergeCell ref="B376:B392"/>
    <mergeCell ref="B348:B350"/>
    <mergeCell ref="C656:C657"/>
    <mergeCell ref="D656:D657"/>
    <mergeCell ref="E656:E657"/>
    <mergeCell ref="F656:F657"/>
    <mergeCell ref="C693:C694"/>
    <mergeCell ref="D693:D694"/>
    <mergeCell ref="E693:E694"/>
    <mergeCell ref="F689:F691"/>
    <mergeCell ref="C689:C691"/>
    <mergeCell ref="B483:B485"/>
    <mergeCell ref="C483:C485"/>
    <mergeCell ref="D483:D485"/>
    <mergeCell ref="E483:E485"/>
    <mergeCell ref="F396:F398"/>
    <mergeCell ref="B475:B477"/>
    <mergeCell ref="C613:C615"/>
    <mergeCell ref="D613:D615"/>
    <mergeCell ref="E613:E615"/>
    <mergeCell ref="F613:F615"/>
    <mergeCell ref="B689:B691"/>
    <mergeCell ref="B693:B719"/>
    <mergeCell ref="E554:E556"/>
    <mergeCell ref="C303:C304"/>
    <mergeCell ref="E8:E9"/>
    <mergeCell ref="B190:B192"/>
    <mergeCell ref="C190:C192"/>
    <mergeCell ref="E190:E192"/>
    <mergeCell ref="B147:B186"/>
    <mergeCell ref="B115:B124"/>
    <mergeCell ref="C115:C120"/>
    <mergeCell ref="D115:D120"/>
    <mergeCell ref="E115:E119"/>
    <mergeCell ref="D190:D192"/>
    <mergeCell ref="C274:C275"/>
    <mergeCell ref="E274:E275"/>
    <mergeCell ref="C70:C72"/>
    <mergeCell ref="B274:B277"/>
    <mergeCell ref="B5:B7"/>
    <mergeCell ref="C5:C7"/>
    <mergeCell ref="D5:D7"/>
    <mergeCell ref="E5:E7"/>
    <mergeCell ref="B8:B13"/>
    <mergeCell ref="D8:D9"/>
    <mergeCell ref="C8:C11"/>
    <mergeCell ref="P254:P265"/>
    <mergeCell ref="R254:R265"/>
    <mergeCell ref="H5:H7"/>
    <mergeCell ref="I5:I7"/>
    <mergeCell ref="G246:G250"/>
    <mergeCell ref="G239:G245"/>
    <mergeCell ref="N254:N265"/>
    <mergeCell ref="B194:B200"/>
    <mergeCell ref="F5:F7"/>
    <mergeCell ref="C194:C196"/>
    <mergeCell ref="X5:X7"/>
    <mergeCell ref="G234:G237"/>
    <mergeCell ref="X190:X192"/>
    <mergeCell ref="K5:W5"/>
    <mergeCell ref="Y5:Y7"/>
    <mergeCell ref="K6:L6"/>
    <mergeCell ref="M6:N6"/>
    <mergeCell ref="O6:P6"/>
    <mergeCell ref="Q6:R6"/>
    <mergeCell ref="S6:T6"/>
    <mergeCell ref="U6:V6"/>
    <mergeCell ref="G5:G7"/>
    <mergeCell ref="G213:G217"/>
    <mergeCell ref="K190:W190"/>
    <mergeCell ref="Y190:Y192"/>
    <mergeCell ref="S191:T191"/>
    <mergeCell ref="U191:V191"/>
    <mergeCell ref="W191:W192"/>
    <mergeCell ref="G207:G208"/>
    <mergeCell ref="B2:W2"/>
    <mergeCell ref="T338:T342"/>
    <mergeCell ref="B335:B344"/>
    <mergeCell ref="C335:C344"/>
    <mergeCell ref="D335:D344"/>
    <mergeCell ref="W6:W7"/>
    <mergeCell ref="P338:P342"/>
    <mergeCell ref="R338:R342"/>
    <mergeCell ref="J5:J7"/>
    <mergeCell ref="L338:L342"/>
    <mergeCell ref="E335:E344"/>
    <mergeCell ref="H190:H192"/>
    <mergeCell ref="L254:L265"/>
    <mergeCell ref="G336:G337"/>
    <mergeCell ref="G201:G202"/>
    <mergeCell ref="H331:H333"/>
    <mergeCell ref="I331:I333"/>
    <mergeCell ref="G331:G333"/>
    <mergeCell ref="F190:F192"/>
    <mergeCell ref="G190:G192"/>
    <mergeCell ref="K191:L191"/>
    <mergeCell ref="M191:N191"/>
    <mergeCell ref="O191:P191"/>
    <mergeCell ref="Q191:R191"/>
    <mergeCell ref="F303:F304"/>
    <mergeCell ref="C348:C350"/>
    <mergeCell ref="D303:D304"/>
    <mergeCell ref="E303:E304"/>
    <mergeCell ref="B478:B481"/>
    <mergeCell ref="C478:C481"/>
    <mergeCell ref="D478:D481"/>
    <mergeCell ref="E478:E481"/>
    <mergeCell ref="B331:B333"/>
    <mergeCell ref="C331:C333"/>
    <mergeCell ref="D331:D333"/>
    <mergeCell ref="E331:E333"/>
    <mergeCell ref="F331:F333"/>
    <mergeCell ref="B303:B327"/>
    <mergeCell ref="C475:C477"/>
    <mergeCell ref="D475:D477"/>
    <mergeCell ref="E475:E477"/>
    <mergeCell ref="F475:F477"/>
    <mergeCell ref="B396:B398"/>
    <mergeCell ref="C396:C398"/>
    <mergeCell ref="B352:B374"/>
    <mergeCell ref="B400:B470"/>
    <mergeCell ref="D396:D398"/>
    <mergeCell ref="E396:E398"/>
    <mergeCell ref="H396:H398"/>
    <mergeCell ref="I396:I398"/>
    <mergeCell ref="G417:G420"/>
    <mergeCell ref="H475:H477"/>
    <mergeCell ref="I475:I477"/>
    <mergeCell ref="J475:J477"/>
    <mergeCell ref="K475:W475"/>
    <mergeCell ref="G291:G296"/>
    <mergeCell ref="N338:N342"/>
    <mergeCell ref="V338:V342"/>
    <mergeCell ref="G338:G342"/>
    <mergeCell ref="G475:G477"/>
    <mergeCell ref="G396:G398"/>
    <mergeCell ref="B487:B550"/>
    <mergeCell ref="G503:G504"/>
    <mergeCell ref="G517:G519"/>
    <mergeCell ref="C617:C620"/>
    <mergeCell ref="B617:B623"/>
    <mergeCell ref="D617:D619"/>
    <mergeCell ref="E617:E619"/>
    <mergeCell ref="B656:B685"/>
    <mergeCell ref="D689:D691"/>
    <mergeCell ref="E689:E691"/>
    <mergeCell ref="G689:G691"/>
    <mergeCell ref="G591:G593"/>
    <mergeCell ref="G565:G566"/>
    <mergeCell ref="C575:C576"/>
    <mergeCell ref="D575:D576"/>
    <mergeCell ref="G605:G606"/>
    <mergeCell ref="E575:E576"/>
    <mergeCell ref="B613:B615"/>
    <mergeCell ref="B575:B582"/>
    <mergeCell ref="B554:B556"/>
    <mergeCell ref="C554:C556"/>
    <mergeCell ref="D554:D556"/>
    <mergeCell ref="B557:B563"/>
    <mergeCell ref="C557:C558"/>
    <mergeCell ref="I689:I691"/>
    <mergeCell ref="J689:J691"/>
    <mergeCell ref="H554:H556"/>
    <mergeCell ref="I554:I556"/>
    <mergeCell ref="J554:J556"/>
    <mergeCell ref="H559:H560"/>
    <mergeCell ref="I559:I560"/>
    <mergeCell ref="H613:H615"/>
    <mergeCell ref="G715:G716"/>
    <mergeCell ref="G701:G702"/>
    <mergeCell ref="J613:J615"/>
    <mergeCell ref="I613:I615"/>
    <mergeCell ref="F721:F722"/>
    <mergeCell ref="G697:G698"/>
    <mergeCell ref="F554:F556"/>
    <mergeCell ref="G554:G556"/>
    <mergeCell ref="G613:G615"/>
    <mergeCell ref="G608:G609"/>
    <mergeCell ref="H608:H609"/>
    <mergeCell ref="F575:F576"/>
    <mergeCell ref="H689:H691"/>
    <mergeCell ref="H605:H606"/>
    <mergeCell ref="V838:V839"/>
    <mergeCell ref="G838:G839"/>
    <mergeCell ref="L838:L839"/>
    <mergeCell ref="N838:N839"/>
    <mergeCell ref="P838:P839"/>
    <mergeCell ref="K818:W818"/>
    <mergeCell ref="B721:B758"/>
    <mergeCell ref="G751:G752"/>
    <mergeCell ref="B766:B782"/>
    <mergeCell ref="G738:G748"/>
    <mergeCell ref="F784:F785"/>
    <mergeCell ref="C766:C768"/>
    <mergeCell ref="G753:G754"/>
    <mergeCell ref="C721:C722"/>
    <mergeCell ref="D721:D722"/>
    <mergeCell ref="E721:E722"/>
    <mergeCell ref="T838:T839"/>
    <mergeCell ref="B762:B764"/>
    <mergeCell ref="C762:C764"/>
    <mergeCell ref="D762:D764"/>
    <mergeCell ref="E762:E764"/>
    <mergeCell ref="B784:B814"/>
    <mergeCell ref="H818:H820"/>
    <mergeCell ref="I818:I820"/>
    <mergeCell ref="F762:F764"/>
    <mergeCell ref="G762:G764"/>
    <mergeCell ref="C784:C785"/>
    <mergeCell ref="D784:D785"/>
    <mergeCell ref="E784:E785"/>
    <mergeCell ref="J762:J764"/>
    <mergeCell ref="R838:R839"/>
    <mergeCell ref="E766:E767"/>
    <mergeCell ref="C822:C823"/>
    <mergeCell ref="G818:G820"/>
    <mergeCell ref="F818:F820"/>
    <mergeCell ref="J818:J820"/>
    <mergeCell ref="H762:H764"/>
    <mergeCell ref="I762:I764"/>
    <mergeCell ref="G935:G936"/>
    <mergeCell ref="C884:C885"/>
    <mergeCell ref="D884:D885"/>
    <mergeCell ref="G941:G942"/>
    <mergeCell ref="G944:G945"/>
    <mergeCell ref="F884:F885"/>
    <mergeCell ref="D822:D823"/>
    <mergeCell ref="E822:E823"/>
    <mergeCell ref="F822:F823"/>
    <mergeCell ref="C876:C878"/>
    <mergeCell ref="C872:C874"/>
    <mergeCell ref="D872:D874"/>
    <mergeCell ref="E872:E874"/>
    <mergeCell ref="G914:G915"/>
    <mergeCell ref="G920:G921"/>
    <mergeCell ref="G872:G874"/>
    <mergeCell ref="F872:F874"/>
    <mergeCell ref="B963:B991"/>
    <mergeCell ref="B1015:B1098"/>
    <mergeCell ref="B1011:B1013"/>
    <mergeCell ref="L954:L955"/>
    <mergeCell ref="N954:N955"/>
    <mergeCell ref="T946:T948"/>
    <mergeCell ref="P954:P955"/>
    <mergeCell ref="R954:R955"/>
    <mergeCell ref="T954:T955"/>
    <mergeCell ref="N946:N948"/>
    <mergeCell ref="G946:G948"/>
    <mergeCell ref="J959:J961"/>
    <mergeCell ref="G959:G961"/>
    <mergeCell ref="K959:W959"/>
    <mergeCell ref="H959:H961"/>
    <mergeCell ref="I959:I961"/>
    <mergeCell ref="B956:F956"/>
    <mergeCell ref="G954:G955"/>
    <mergeCell ref="C963:C964"/>
    <mergeCell ref="D963:D964"/>
    <mergeCell ref="E963:E964"/>
    <mergeCell ref="B959:B961"/>
    <mergeCell ref="C959:C961"/>
    <mergeCell ref="D959:D961"/>
    <mergeCell ref="G1147:G1148"/>
    <mergeCell ref="B1128:B1153"/>
    <mergeCell ref="C1125:C1126"/>
    <mergeCell ref="D1125:D1126"/>
    <mergeCell ref="E1125:E1126"/>
    <mergeCell ref="B1119:B1126"/>
    <mergeCell ref="C1119:C1124"/>
    <mergeCell ref="C1128:C1130"/>
    <mergeCell ref="D1128:D1129"/>
    <mergeCell ref="E1128:E1129"/>
    <mergeCell ref="D1119:D1124"/>
    <mergeCell ref="E1119:E1124"/>
    <mergeCell ref="G266:G267"/>
    <mergeCell ref="G203:G206"/>
    <mergeCell ref="F194:F195"/>
    <mergeCell ref="T254:T265"/>
    <mergeCell ref="V254:V265"/>
    <mergeCell ref="F274:F276"/>
    <mergeCell ref="D348:D350"/>
    <mergeCell ref="E348:E350"/>
    <mergeCell ref="F348:F350"/>
    <mergeCell ref="G348:G350"/>
    <mergeCell ref="J331:J333"/>
    <mergeCell ref="K331:W331"/>
    <mergeCell ref="K332:L332"/>
    <mergeCell ref="M332:N332"/>
    <mergeCell ref="O332:P332"/>
    <mergeCell ref="Q332:R332"/>
    <mergeCell ref="S332:T332"/>
    <mergeCell ref="U332:V332"/>
    <mergeCell ref="W332:W333"/>
    <mergeCell ref="I348:I350"/>
    <mergeCell ref="J348:J350"/>
    <mergeCell ref="H348:H350"/>
    <mergeCell ref="D194:D196"/>
    <mergeCell ref="E194:E196"/>
    <mergeCell ref="X331:X333"/>
    <mergeCell ref="Y331:Y333"/>
    <mergeCell ref="K348:W348"/>
    <mergeCell ref="X348:X350"/>
    <mergeCell ref="S397:T397"/>
    <mergeCell ref="U397:V397"/>
    <mergeCell ref="U349:V349"/>
    <mergeCell ref="W349:W350"/>
    <mergeCell ref="K396:W396"/>
    <mergeCell ref="X396:X398"/>
    <mergeCell ref="Y348:Y350"/>
    <mergeCell ref="K349:L349"/>
    <mergeCell ref="M349:N349"/>
    <mergeCell ref="O349:P349"/>
    <mergeCell ref="Q349:R349"/>
    <mergeCell ref="S349:T349"/>
    <mergeCell ref="Y396:Y398"/>
    <mergeCell ref="K397:L397"/>
    <mergeCell ref="M397:N397"/>
    <mergeCell ref="O397:P397"/>
    <mergeCell ref="Q397:R397"/>
    <mergeCell ref="W397:W398"/>
    <mergeCell ref="X475:X477"/>
    <mergeCell ref="Y475:Y477"/>
    <mergeCell ref="K476:L476"/>
    <mergeCell ref="M476:N476"/>
    <mergeCell ref="J396:J398"/>
    <mergeCell ref="O476:P476"/>
    <mergeCell ref="Q476:R476"/>
    <mergeCell ref="S476:T476"/>
    <mergeCell ref="U476:V476"/>
    <mergeCell ref="W476:W477"/>
    <mergeCell ref="D557:D558"/>
    <mergeCell ref="E557:E558"/>
    <mergeCell ref="X554:X556"/>
    <mergeCell ref="Y554:Y556"/>
    <mergeCell ref="K555:L555"/>
    <mergeCell ref="M555:N555"/>
    <mergeCell ref="O555:P555"/>
    <mergeCell ref="Q555:R555"/>
    <mergeCell ref="S555:T555"/>
    <mergeCell ref="U555:V555"/>
    <mergeCell ref="W555:W556"/>
    <mergeCell ref="K554:W554"/>
    <mergeCell ref="X559:X561"/>
    <mergeCell ref="Y613:Y615"/>
    <mergeCell ref="K614:L614"/>
    <mergeCell ref="M614:N614"/>
    <mergeCell ref="O614:P614"/>
    <mergeCell ref="Q614:R614"/>
    <mergeCell ref="S614:T614"/>
    <mergeCell ref="U614:V614"/>
    <mergeCell ref="W614:W615"/>
    <mergeCell ref="X591:X593"/>
    <mergeCell ref="X601:X602"/>
    <mergeCell ref="X565:X566"/>
    <mergeCell ref="X567:X569"/>
    <mergeCell ref="K613:W613"/>
    <mergeCell ref="X613:X615"/>
    <mergeCell ref="X570:X571"/>
    <mergeCell ref="X605:X606"/>
    <mergeCell ref="X608:X609"/>
    <mergeCell ref="X572:X573"/>
    <mergeCell ref="X689:X691"/>
    <mergeCell ref="Y689:Y691"/>
    <mergeCell ref="K690:L690"/>
    <mergeCell ref="M690:N690"/>
    <mergeCell ref="O690:P690"/>
    <mergeCell ref="Q690:R690"/>
    <mergeCell ref="S690:T690"/>
    <mergeCell ref="U690:V690"/>
    <mergeCell ref="W690:W691"/>
    <mergeCell ref="K689:W689"/>
    <mergeCell ref="Y762:Y764"/>
    <mergeCell ref="K763:L763"/>
    <mergeCell ref="M763:N763"/>
    <mergeCell ref="O763:P763"/>
    <mergeCell ref="Q763:R763"/>
    <mergeCell ref="S763:T763"/>
    <mergeCell ref="X818:X820"/>
    <mergeCell ref="Y818:Y820"/>
    <mergeCell ref="K819:L819"/>
    <mergeCell ref="M819:N819"/>
    <mergeCell ref="O819:P819"/>
    <mergeCell ref="Q819:R819"/>
    <mergeCell ref="S819:T819"/>
    <mergeCell ref="U819:V819"/>
    <mergeCell ref="W819:W820"/>
    <mergeCell ref="K762:W762"/>
    <mergeCell ref="U763:V763"/>
    <mergeCell ref="W763:W764"/>
    <mergeCell ref="X762:X764"/>
    <mergeCell ref="X954:X955"/>
    <mergeCell ref="P946:P948"/>
    <mergeCell ref="R946:R948"/>
    <mergeCell ref="N944:N945"/>
    <mergeCell ref="L946:L948"/>
    <mergeCell ref="I872:I874"/>
    <mergeCell ref="J872:J874"/>
    <mergeCell ref="V954:V955"/>
    <mergeCell ref="H872:H874"/>
    <mergeCell ref="R920:R921"/>
    <mergeCell ref="T920:T921"/>
    <mergeCell ref="V920:V921"/>
    <mergeCell ref="N922:N923"/>
    <mergeCell ref="T922:T923"/>
    <mergeCell ref="P922:P923"/>
    <mergeCell ref="R922:R923"/>
    <mergeCell ref="L944:L945"/>
    <mergeCell ref="V946:V948"/>
    <mergeCell ref="Y872:Y874"/>
    <mergeCell ref="K873:L873"/>
    <mergeCell ref="M873:N873"/>
    <mergeCell ref="O873:P873"/>
    <mergeCell ref="Q873:R873"/>
    <mergeCell ref="S873:T873"/>
    <mergeCell ref="P944:P945"/>
    <mergeCell ref="R944:R945"/>
    <mergeCell ref="T944:T945"/>
    <mergeCell ref="L941:L942"/>
    <mergeCell ref="N941:N942"/>
    <mergeCell ref="P941:P942"/>
    <mergeCell ref="R941:R942"/>
    <mergeCell ref="T941:T942"/>
    <mergeCell ref="V922:V923"/>
    <mergeCell ref="V944:V945"/>
    <mergeCell ref="L920:L921"/>
    <mergeCell ref="N920:N921"/>
    <mergeCell ref="P920:P921"/>
    <mergeCell ref="U873:V873"/>
    <mergeCell ref="W873:W874"/>
    <mergeCell ref="K872:W872"/>
    <mergeCell ref="V941:V942"/>
    <mergeCell ref="X872:X874"/>
    <mergeCell ref="J1102:J1104"/>
    <mergeCell ref="I1102:I1104"/>
    <mergeCell ref="C1015:C1017"/>
    <mergeCell ref="D1015:D1016"/>
    <mergeCell ref="E1015:E1016"/>
    <mergeCell ref="X959:X961"/>
    <mergeCell ref="Y959:Y961"/>
    <mergeCell ref="K960:L960"/>
    <mergeCell ref="M960:N960"/>
    <mergeCell ref="O960:P960"/>
    <mergeCell ref="Q960:R960"/>
    <mergeCell ref="S960:T960"/>
    <mergeCell ref="U960:V960"/>
    <mergeCell ref="W960:W961"/>
    <mergeCell ref="J1011:J1013"/>
    <mergeCell ref="F1011:F1013"/>
    <mergeCell ref="G1011:G1013"/>
    <mergeCell ref="H1011:H1013"/>
    <mergeCell ref="I1011:I1013"/>
    <mergeCell ref="F963:F964"/>
    <mergeCell ref="F959:F961"/>
    <mergeCell ref="D1011:D1013"/>
    <mergeCell ref="E1011:E1013"/>
    <mergeCell ref="C1011:C1013"/>
    <mergeCell ref="Y1011:Y1013"/>
    <mergeCell ref="K1012:L1012"/>
    <mergeCell ref="M1012:N1012"/>
    <mergeCell ref="O1012:P1012"/>
    <mergeCell ref="Q1012:R1012"/>
    <mergeCell ref="X1102:X1104"/>
    <mergeCell ref="S1012:T1012"/>
    <mergeCell ref="Y1102:Y1104"/>
    <mergeCell ref="K1103:L1103"/>
    <mergeCell ref="M1103:N1103"/>
    <mergeCell ref="W1012:W1013"/>
    <mergeCell ref="X1011:X1013"/>
    <mergeCell ref="U1012:V1012"/>
    <mergeCell ref="K1011:W1011"/>
    <mergeCell ref="O1103:P1103"/>
    <mergeCell ref="Q1103:R1103"/>
    <mergeCell ref="S1103:T1103"/>
    <mergeCell ref="U1103:V1103"/>
    <mergeCell ref="K1102:W1102"/>
    <mergeCell ref="W1103:W1104"/>
    <mergeCell ref="B1113:B1117"/>
    <mergeCell ref="D1102:D1104"/>
    <mergeCell ref="E1102:E1104"/>
    <mergeCell ref="F1102:F1104"/>
    <mergeCell ref="G1102:G1104"/>
    <mergeCell ref="H1102:H1104"/>
    <mergeCell ref="C1110:C1111"/>
    <mergeCell ref="D1110:D1111"/>
    <mergeCell ref="C1102:C1104"/>
    <mergeCell ref="E1113:E1117"/>
    <mergeCell ref="B1102:B1104"/>
    <mergeCell ref="B1106:B1111"/>
    <mergeCell ref="E1110:E1111"/>
    <mergeCell ref="C1113:C1117"/>
    <mergeCell ref="D1113:D1117"/>
    <mergeCell ref="C1106:C1108"/>
    <mergeCell ref="D1106:D1108"/>
    <mergeCell ref="E1106:E1107"/>
    <mergeCell ref="F1106:F1107"/>
    <mergeCell ref="E959:E961"/>
    <mergeCell ref="C818:C820"/>
    <mergeCell ref="D818:D820"/>
    <mergeCell ref="E818:E820"/>
    <mergeCell ref="B880:B882"/>
    <mergeCell ref="C880:C882"/>
    <mergeCell ref="D880:D882"/>
    <mergeCell ref="B876:B878"/>
    <mergeCell ref="E884:E885"/>
    <mergeCell ref="B884:B955"/>
    <mergeCell ref="D876:D878"/>
    <mergeCell ref="E876:E878"/>
    <mergeCell ref="E880:E882"/>
    <mergeCell ref="B818:B820"/>
    <mergeCell ref="B822:B844"/>
    <mergeCell ref="B872:B874"/>
  </mergeCells>
  <pageMargins left="0.39370078740157483" right="0.39370078740157483" top="0.98425196850393704" bottom="0.78740157480314965" header="0.31496062992125984" footer="0.31496062992125984"/>
  <pageSetup paperSize="256" scale="57" orientation="landscape" horizontalDpi="4294967293"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544"/>
  <sheetViews>
    <sheetView topLeftCell="A1536" workbookViewId="0">
      <selection activeCell="I39" sqref="I39"/>
    </sheetView>
  </sheetViews>
  <sheetFormatPr defaultRowHeight="12.75" x14ac:dyDescent="0.25"/>
  <cols>
    <col min="1" max="1" width="9.140625" style="1166"/>
    <col min="2" max="2" width="15.28515625" style="1166" customWidth="1"/>
    <col min="3" max="3" width="20.5703125" style="1166" customWidth="1"/>
    <col min="4" max="6" width="9.140625" style="1166"/>
    <col min="7" max="7" width="9.5703125" style="1166" bestFit="1" customWidth="1"/>
    <col min="8" max="8" width="9.140625" style="1166"/>
    <col min="9" max="9" width="10.28515625" style="1166" bestFit="1" customWidth="1"/>
    <col min="10" max="10" width="9.140625" style="1166"/>
    <col min="11" max="11" width="10.140625" style="1166" bestFit="1" customWidth="1"/>
    <col min="12" max="12" width="9.140625" style="1166"/>
    <col min="13" max="13" width="10.140625" style="1166" bestFit="1" customWidth="1"/>
    <col min="14" max="14" width="9.140625" style="1166"/>
    <col min="15" max="15" width="10.140625" style="1166" bestFit="1" customWidth="1"/>
    <col min="16" max="16" width="9.140625" style="1166"/>
    <col min="17" max="17" width="10.140625" style="1166" bestFit="1" customWidth="1"/>
    <col min="18" max="19" width="9.140625" style="1166"/>
    <col min="20" max="20" width="26" style="1166" bestFit="1" customWidth="1"/>
    <col min="21" max="16384" width="9.140625" style="1166"/>
  </cols>
  <sheetData>
    <row r="1" spans="2:20" ht="13.5" thickBot="1" x14ac:dyDescent="0.3"/>
    <row r="2" spans="2:20" s="986" customFormat="1" ht="13.5" customHeight="1" thickTop="1" x14ac:dyDescent="0.25">
      <c r="B2" s="2128" t="s">
        <v>3220</v>
      </c>
      <c r="C2" s="2131" t="s">
        <v>3221</v>
      </c>
      <c r="D2" s="2131" t="s">
        <v>31</v>
      </c>
      <c r="E2" s="2131" t="s">
        <v>3222</v>
      </c>
      <c r="F2" s="2125" t="s">
        <v>3223</v>
      </c>
      <c r="G2" s="2125"/>
      <c r="H2" s="2125"/>
      <c r="I2" s="2125"/>
      <c r="J2" s="2125"/>
      <c r="K2" s="2125"/>
      <c r="L2" s="2125"/>
      <c r="M2" s="2125"/>
      <c r="N2" s="2125"/>
      <c r="O2" s="2125"/>
      <c r="P2" s="2125"/>
      <c r="Q2" s="2125"/>
      <c r="R2" s="2125" t="s">
        <v>3224</v>
      </c>
      <c r="S2" s="2109" t="s">
        <v>3225</v>
      </c>
      <c r="T2" s="2109" t="s">
        <v>1147</v>
      </c>
    </row>
    <row r="3" spans="2:20" s="986" customFormat="1" x14ac:dyDescent="0.25">
      <c r="B3" s="2129"/>
      <c r="C3" s="2132"/>
      <c r="D3" s="2132"/>
      <c r="E3" s="2132"/>
      <c r="F3" s="987" t="s">
        <v>114</v>
      </c>
      <c r="G3" s="988"/>
      <c r="H3" s="987" t="s">
        <v>115</v>
      </c>
      <c r="I3" s="988"/>
      <c r="J3" s="987" t="s">
        <v>116</v>
      </c>
      <c r="K3" s="988"/>
      <c r="L3" s="987" t="s">
        <v>117</v>
      </c>
      <c r="M3" s="988"/>
      <c r="N3" s="987" t="s">
        <v>118</v>
      </c>
      <c r="O3" s="988"/>
      <c r="P3" s="987" t="s">
        <v>119</v>
      </c>
      <c r="Q3" s="989"/>
      <c r="R3" s="2126"/>
      <c r="S3" s="2110"/>
      <c r="T3" s="2110"/>
    </row>
    <row r="4" spans="2:20" s="986" customFormat="1" ht="13.5" thickBot="1" x14ac:dyDescent="0.3">
      <c r="B4" s="2130"/>
      <c r="C4" s="2133"/>
      <c r="D4" s="2133"/>
      <c r="E4" s="2133"/>
      <c r="F4" s="990" t="s">
        <v>9</v>
      </c>
      <c r="G4" s="990" t="s">
        <v>3226</v>
      </c>
      <c r="H4" s="990" t="s">
        <v>9</v>
      </c>
      <c r="I4" s="991">
        <v>0</v>
      </c>
      <c r="J4" s="990" t="s">
        <v>9</v>
      </c>
      <c r="K4" s="991">
        <v>0</v>
      </c>
      <c r="L4" s="990" t="s">
        <v>9</v>
      </c>
      <c r="M4" s="990" t="s">
        <v>3226</v>
      </c>
      <c r="N4" s="990" t="s">
        <v>9</v>
      </c>
      <c r="O4" s="990" t="s">
        <v>3226</v>
      </c>
      <c r="P4" s="990" t="s">
        <v>9</v>
      </c>
      <c r="Q4" s="992" t="s">
        <v>3226</v>
      </c>
      <c r="R4" s="2127"/>
      <c r="S4" s="2111"/>
      <c r="T4" s="2111"/>
    </row>
    <row r="5" spans="2:20" s="986" customFormat="1" ht="13.5" thickTop="1" x14ac:dyDescent="0.25">
      <c r="B5" s="994"/>
      <c r="C5" s="995"/>
      <c r="D5" s="995"/>
      <c r="E5" s="995"/>
      <c r="F5" s="995"/>
      <c r="G5" s="995"/>
      <c r="H5" s="995"/>
      <c r="I5" s="995"/>
      <c r="J5" s="995"/>
      <c r="K5" s="995"/>
      <c r="L5" s="995"/>
      <c r="M5" s="995"/>
      <c r="N5" s="995"/>
      <c r="O5" s="995"/>
      <c r="P5" s="995"/>
      <c r="Q5" s="995"/>
      <c r="R5" s="995"/>
      <c r="S5" s="996"/>
      <c r="T5" s="996"/>
    </row>
    <row r="6" spans="2:20" s="986" customFormat="1" x14ac:dyDescent="0.25">
      <c r="B6" s="1167" t="s">
        <v>3227</v>
      </c>
      <c r="C6" s="993"/>
      <c r="D6" s="993"/>
      <c r="E6" s="993"/>
      <c r="F6" s="993"/>
      <c r="G6" s="993"/>
      <c r="H6" s="993"/>
      <c r="I6" s="993"/>
      <c r="J6" s="993"/>
      <c r="K6" s="993"/>
      <c r="L6" s="993"/>
      <c r="M6" s="993"/>
      <c r="N6" s="993"/>
      <c r="O6" s="993"/>
      <c r="P6" s="993"/>
      <c r="Q6" s="993"/>
      <c r="R6" s="993"/>
      <c r="S6" s="997"/>
      <c r="T6" s="997"/>
    </row>
    <row r="7" spans="2:20" s="1060" customFormat="1" ht="60" x14ac:dyDescent="0.25">
      <c r="B7" s="1106" t="s">
        <v>3229</v>
      </c>
      <c r="C7" s="1057" t="s">
        <v>1488</v>
      </c>
      <c r="D7" s="1057" t="s">
        <v>19</v>
      </c>
      <c r="E7" s="1058">
        <v>100</v>
      </c>
      <c r="F7" s="1058">
        <v>100</v>
      </c>
      <c r="G7" s="1058">
        <f>SUM(G8:G20)</f>
        <v>105711</v>
      </c>
      <c r="H7" s="1058">
        <v>100</v>
      </c>
      <c r="I7" s="1058">
        <f>SUM(I8:I20)</f>
        <v>113000</v>
      </c>
      <c r="J7" s="1058">
        <v>100</v>
      </c>
      <c r="K7" s="1058">
        <f>SUM(K8:K20)</f>
        <v>123100</v>
      </c>
      <c r="L7" s="1058">
        <v>100</v>
      </c>
      <c r="M7" s="1058">
        <f>SUM(M8:M20)</f>
        <v>132200</v>
      </c>
      <c r="N7" s="1058">
        <v>100</v>
      </c>
      <c r="O7" s="1058">
        <f>SUM(O8:O20)</f>
        <v>142500</v>
      </c>
      <c r="P7" s="1058">
        <v>100</v>
      </c>
      <c r="Q7" s="1058">
        <f>SUM(Q8:Q20)</f>
        <v>219400</v>
      </c>
      <c r="R7" s="1058">
        <v>100</v>
      </c>
      <c r="S7" s="1059"/>
      <c r="T7" s="1167" t="s">
        <v>3227</v>
      </c>
    </row>
    <row r="8" spans="2:20" s="1003" customFormat="1" ht="25.5" x14ac:dyDescent="0.25">
      <c r="B8" s="998" t="s">
        <v>124</v>
      </c>
      <c r="C8" s="1100" t="s">
        <v>3230</v>
      </c>
      <c r="D8" s="1000" t="s">
        <v>40</v>
      </c>
      <c r="E8" s="1001">
        <v>99.86</v>
      </c>
      <c r="F8" s="1001">
        <v>12</v>
      </c>
      <c r="G8" s="1001">
        <v>1000</v>
      </c>
      <c r="H8" s="1001">
        <v>12</v>
      </c>
      <c r="I8" s="1001">
        <v>1500</v>
      </c>
      <c r="J8" s="1001">
        <v>12</v>
      </c>
      <c r="K8" s="1001">
        <v>1800</v>
      </c>
      <c r="L8" s="1001">
        <v>12</v>
      </c>
      <c r="M8" s="1001">
        <v>2000</v>
      </c>
      <c r="N8" s="1001">
        <v>12</v>
      </c>
      <c r="O8" s="1001">
        <v>2300</v>
      </c>
      <c r="P8" s="1001">
        <v>12</v>
      </c>
      <c r="Q8" s="1001">
        <v>2500</v>
      </c>
      <c r="R8" s="1001"/>
      <c r="S8" s="1004"/>
      <c r="T8" s="1004"/>
    </row>
    <row r="9" spans="2:20" s="1003" customFormat="1" ht="51" x14ac:dyDescent="0.25">
      <c r="B9" s="1005" t="s">
        <v>126</v>
      </c>
      <c r="C9" s="1100" t="s">
        <v>2518</v>
      </c>
      <c r="D9" s="1000" t="s">
        <v>40</v>
      </c>
      <c r="E9" s="1001">
        <v>63.95</v>
      </c>
      <c r="F9" s="1001">
        <v>12</v>
      </c>
      <c r="G9" s="1001">
        <v>17440</v>
      </c>
      <c r="H9" s="1001">
        <v>12</v>
      </c>
      <c r="I9" s="1001">
        <v>19000</v>
      </c>
      <c r="J9" s="1001">
        <v>12</v>
      </c>
      <c r="K9" s="1001">
        <v>20000</v>
      </c>
      <c r="L9" s="1001">
        <v>12</v>
      </c>
      <c r="M9" s="1001">
        <v>22000</v>
      </c>
      <c r="N9" s="1001">
        <v>12</v>
      </c>
      <c r="O9" s="1001">
        <v>24500</v>
      </c>
      <c r="P9" s="1001">
        <v>12</v>
      </c>
      <c r="Q9" s="1001">
        <v>26000</v>
      </c>
      <c r="R9" s="1001"/>
      <c r="S9" s="1004"/>
      <c r="T9" s="1004"/>
    </row>
    <row r="10" spans="2:20" s="1003" customFormat="1" ht="76.5" x14ac:dyDescent="0.25">
      <c r="B10" s="1005" t="s">
        <v>3231</v>
      </c>
      <c r="C10" s="1100" t="s">
        <v>2519</v>
      </c>
      <c r="D10" s="1000" t="s">
        <v>40</v>
      </c>
      <c r="E10" s="1001">
        <v>91.91</v>
      </c>
      <c r="F10" s="1001">
        <v>12</v>
      </c>
      <c r="G10" s="1001">
        <v>25000</v>
      </c>
      <c r="H10" s="1001">
        <v>12</v>
      </c>
      <c r="I10" s="1001">
        <v>26000</v>
      </c>
      <c r="J10" s="1001">
        <v>12</v>
      </c>
      <c r="K10" s="1001">
        <v>27500</v>
      </c>
      <c r="L10" s="1001">
        <v>12</v>
      </c>
      <c r="M10" s="1001">
        <v>28000</v>
      </c>
      <c r="N10" s="1001">
        <v>12</v>
      </c>
      <c r="O10" s="1001">
        <v>28700</v>
      </c>
      <c r="P10" s="1001">
        <v>12</v>
      </c>
      <c r="Q10" s="1001">
        <v>29000</v>
      </c>
      <c r="R10" s="1001"/>
      <c r="S10" s="1004"/>
      <c r="T10" s="1004"/>
    </row>
    <row r="11" spans="2:20" s="1003" customFormat="1" ht="38.25" x14ac:dyDescent="0.25">
      <c r="B11" s="1005" t="s">
        <v>45</v>
      </c>
      <c r="C11" s="1100" t="s">
        <v>2520</v>
      </c>
      <c r="D11" s="1000" t="s">
        <v>40</v>
      </c>
      <c r="E11" s="1001">
        <v>100</v>
      </c>
      <c r="F11" s="1001">
        <v>12</v>
      </c>
      <c r="G11" s="1001">
        <v>24100</v>
      </c>
      <c r="H11" s="1001">
        <v>12</v>
      </c>
      <c r="I11" s="1001">
        <v>25500</v>
      </c>
      <c r="J11" s="1001">
        <v>12</v>
      </c>
      <c r="K11" s="1001">
        <v>26300</v>
      </c>
      <c r="L11" s="1001">
        <v>12</v>
      </c>
      <c r="M11" s="1001">
        <v>27000</v>
      </c>
      <c r="N11" s="1001">
        <v>12</v>
      </c>
      <c r="O11" s="1001">
        <v>27600</v>
      </c>
      <c r="P11" s="1001">
        <v>12</v>
      </c>
      <c r="Q11" s="1001">
        <v>28500</v>
      </c>
      <c r="R11" s="1001"/>
      <c r="S11" s="1004"/>
      <c r="T11" s="1004"/>
    </row>
    <row r="12" spans="2:20" s="1003" customFormat="1" ht="38.25" x14ac:dyDescent="0.25">
      <c r="B12" s="1005" t="s">
        <v>47</v>
      </c>
      <c r="C12" s="1100" t="s">
        <v>2521</v>
      </c>
      <c r="D12" s="1000" t="s">
        <v>40</v>
      </c>
      <c r="E12" s="1001">
        <v>100</v>
      </c>
      <c r="F12" s="1001">
        <v>12</v>
      </c>
      <c r="G12" s="1001">
        <v>5000</v>
      </c>
      <c r="H12" s="1001">
        <v>12</v>
      </c>
      <c r="I12" s="1001">
        <v>5000</v>
      </c>
      <c r="J12" s="1001">
        <v>12</v>
      </c>
      <c r="K12" s="1001">
        <v>5700</v>
      </c>
      <c r="L12" s="1001">
        <v>12</v>
      </c>
      <c r="M12" s="1001">
        <v>6000</v>
      </c>
      <c r="N12" s="1001">
        <v>12</v>
      </c>
      <c r="O12" s="1001">
        <v>6500</v>
      </c>
      <c r="P12" s="1001">
        <v>12</v>
      </c>
      <c r="Q12" s="1001">
        <v>7300</v>
      </c>
      <c r="R12" s="1001"/>
      <c r="S12" s="1004"/>
      <c r="T12" s="1004"/>
    </row>
    <row r="13" spans="2:20" s="1003" customFormat="1" ht="51" x14ac:dyDescent="0.25">
      <c r="B13" s="1005" t="s">
        <v>923</v>
      </c>
      <c r="C13" s="1100" t="s">
        <v>2522</v>
      </c>
      <c r="D13" s="1000" t="s">
        <v>40</v>
      </c>
      <c r="E13" s="1001">
        <v>100</v>
      </c>
      <c r="F13" s="1001">
        <v>12</v>
      </c>
      <c r="G13" s="1001">
        <v>7000</v>
      </c>
      <c r="H13" s="1001">
        <v>12</v>
      </c>
      <c r="I13" s="1001">
        <v>7000</v>
      </c>
      <c r="J13" s="1001">
        <v>12</v>
      </c>
      <c r="K13" s="1001">
        <v>8300</v>
      </c>
      <c r="L13" s="1001">
        <v>12</v>
      </c>
      <c r="M13" s="1001">
        <v>9400</v>
      </c>
      <c r="N13" s="1001">
        <v>12</v>
      </c>
      <c r="O13" s="1001">
        <v>10500</v>
      </c>
      <c r="P13" s="1001">
        <v>12</v>
      </c>
      <c r="Q13" s="1001">
        <v>12000</v>
      </c>
      <c r="R13" s="1001"/>
      <c r="S13" s="1004"/>
      <c r="T13" s="1004"/>
    </row>
    <row r="14" spans="2:20" s="1003" customFormat="1" ht="38.25" x14ac:dyDescent="0.25">
      <c r="B14" s="1005" t="s">
        <v>50</v>
      </c>
      <c r="C14" s="1100" t="s">
        <v>2523</v>
      </c>
      <c r="D14" s="1000" t="s">
        <v>40</v>
      </c>
      <c r="E14" s="1001">
        <v>100</v>
      </c>
      <c r="F14" s="1001">
        <v>12</v>
      </c>
      <c r="G14" s="1001">
        <v>6060</v>
      </c>
      <c r="H14" s="1001">
        <v>12</v>
      </c>
      <c r="I14" s="1001">
        <v>6500</v>
      </c>
      <c r="J14" s="1001">
        <v>12</v>
      </c>
      <c r="K14" s="1001">
        <v>7500</v>
      </c>
      <c r="L14" s="1001">
        <v>12</v>
      </c>
      <c r="M14" s="1001">
        <v>8600</v>
      </c>
      <c r="N14" s="1001">
        <v>12</v>
      </c>
      <c r="O14" s="1001">
        <v>9500</v>
      </c>
      <c r="P14" s="1001">
        <v>12</v>
      </c>
      <c r="Q14" s="1001">
        <v>10500</v>
      </c>
      <c r="R14" s="1001"/>
      <c r="S14" s="1004"/>
      <c r="T14" s="1004"/>
    </row>
    <row r="15" spans="2:20" s="1003" customFormat="1" ht="51" x14ac:dyDescent="0.25">
      <c r="B15" s="1005" t="s">
        <v>52</v>
      </c>
      <c r="C15" s="1100" t="s">
        <v>2524</v>
      </c>
      <c r="D15" s="1000" t="s">
        <v>40</v>
      </c>
      <c r="E15" s="1001">
        <v>100</v>
      </c>
      <c r="F15" s="1001">
        <v>12</v>
      </c>
      <c r="G15" s="1001">
        <v>4911</v>
      </c>
      <c r="H15" s="1001">
        <v>12</v>
      </c>
      <c r="I15" s="1001">
        <v>6000</v>
      </c>
      <c r="J15" s="1001">
        <v>12</v>
      </c>
      <c r="K15" s="1001">
        <v>6500</v>
      </c>
      <c r="L15" s="1001">
        <v>12</v>
      </c>
      <c r="M15" s="1001">
        <v>7400</v>
      </c>
      <c r="N15" s="1001">
        <v>12</v>
      </c>
      <c r="O15" s="1001">
        <v>8000</v>
      </c>
      <c r="P15" s="1001">
        <v>12</v>
      </c>
      <c r="Q15" s="1001">
        <v>8600</v>
      </c>
      <c r="R15" s="1001"/>
      <c r="S15" s="1004"/>
      <c r="T15" s="1004"/>
    </row>
    <row r="16" spans="2:20" s="1003" customFormat="1" ht="76.5" x14ac:dyDescent="0.25">
      <c r="B16" s="1005" t="s">
        <v>782</v>
      </c>
      <c r="C16" s="1100" t="s">
        <v>2525</v>
      </c>
      <c r="D16" s="1000" t="s">
        <v>40</v>
      </c>
      <c r="E16" s="1001">
        <v>100</v>
      </c>
      <c r="F16" s="1001">
        <v>12</v>
      </c>
      <c r="G16" s="1001">
        <v>2000</v>
      </c>
      <c r="H16" s="1001">
        <v>12</v>
      </c>
      <c r="I16" s="1001">
        <v>2500</v>
      </c>
      <c r="J16" s="1001">
        <v>12</v>
      </c>
      <c r="K16" s="1001">
        <v>3000</v>
      </c>
      <c r="L16" s="1001">
        <v>12</v>
      </c>
      <c r="M16" s="1001">
        <v>3500</v>
      </c>
      <c r="N16" s="1001">
        <v>12</v>
      </c>
      <c r="O16" s="1001">
        <v>4700</v>
      </c>
      <c r="P16" s="1001">
        <v>12</v>
      </c>
      <c r="Q16" s="1001">
        <v>5500</v>
      </c>
      <c r="R16" s="1001"/>
      <c r="S16" s="1004"/>
      <c r="T16" s="1004"/>
    </row>
    <row r="17" spans="2:20" s="1003" customFormat="1" ht="63.75" x14ac:dyDescent="0.25">
      <c r="B17" s="1005" t="s">
        <v>3232</v>
      </c>
      <c r="C17" s="1100" t="s">
        <v>2526</v>
      </c>
      <c r="D17" s="1000" t="s">
        <v>40</v>
      </c>
      <c r="E17" s="1001">
        <v>100</v>
      </c>
      <c r="F17" s="1001">
        <v>12</v>
      </c>
      <c r="G17" s="1001">
        <v>1500</v>
      </c>
      <c r="H17" s="1001">
        <v>12</v>
      </c>
      <c r="I17" s="1001">
        <v>2000</v>
      </c>
      <c r="J17" s="1001">
        <v>12</v>
      </c>
      <c r="K17" s="1001">
        <v>2500</v>
      </c>
      <c r="L17" s="1001">
        <v>12</v>
      </c>
      <c r="M17" s="1001">
        <v>3000</v>
      </c>
      <c r="N17" s="1001">
        <v>12</v>
      </c>
      <c r="O17" s="1001">
        <v>3500</v>
      </c>
      <c r="P17" s="1001">
        <v>12</v>
      </c>
      <c r="Q17" s="1001">
        <v>4000</v>
      </c>
      <c r="R17" s="1001"/>
      <c r="S17" s="1004"/>
      <c r="T17" s="1004"/>
    </row>
    <row r="18" spans="2:20" s="1003" customFormat="1" ht="38.25" x14ac:dyDescent="0.25">
      <c r="B18" s="1005" t="s">
        <v>58</v>
      </c>
      <c r="C18" s="1100" t="s">
        <v>2527</v>
      </c>
      <c r="D18" s="1000" t="s">
        <v>40</v>
      </c>
      <c r="E18" s="1001">
        <v>71.52</v>
      </c>
      <c r="F18" s="1001">
        <v>12</v>
      </c>
      <c r="G18" s="1001">
        <v>4200</v>
      </c>
      <c r="H18" s="1001">
        <v>12</v>
      </c>
      <c r="I18" s="1001">
        <v>4000</v>
      </c>
      <c r="J18" s="1001">
        <v>12</v>
      </c>
      <c r="K18" s="1001">
        <v>4500</v>
      </c>
      <c r="L18" s="1001">
        <v>12</v>
      </c>
      <c r="M18" s="1001">
        <v>5000</v>
      </c>
      <c r="N18" s="1001">
        <v>12</v>
      </c>
      <c r="O18" s="1001">
        <v>5500</v>
      </c>
      <c r="P18" s="1001">
        <v>12</v>
      </c>
      <c r="Q18" s="1001">
        <v>6000</v>
      </c>
      <c r="R18" s="1001"/>
      <c r="S18" s="1004"/>
      <c r="T18" s="1004"/>
    </row>
    <row r="19" spans="2:20" s="1003" customFormat="1" ht="51" x14ac:dyDescent="0.25">
      <c r="B19" s="1005" t="s">
        <v>3233</v>
      </c>
      <c r="C19" s="1100" t="s">
        <v>2529</v>
      </c>
      <c r="D19" s="1000" t="s">
        <v>40</v>
      </c>
      <c r="E19" s="1001">
        <v>96.83</v>
      </c>
      <c r="F19" s="1001">
        <v>12</v>
      </c>
      <c r="G19" s="1001">
        <v>5000</v>
      </c>
      <c r="H19" s="1001">
        <v>12</v>
      </c>
      <c r="I19" s="1001">
        <v>5000</v>
      </c>
      <c r="J19" s="1001">
        <v>12</v>
      </c>
      <c r="K19" s="1001">
        <v>6000</v>
      </c>
      <c r="L19" s="1001">
        <v>12</v>
      </c>
      <c r="M19" s="1001">
        <v>6500</v>
      </c>
      <c r="N19" s="1001">
        <v>12</v>
      </c>
      <c r="O19" s="1001">
        <v>7000</v>
      </c>
      <c r="P19" s="1001">
        <v>12</v>
      </c>
      <c r="Q19" s="1001">
        <v>75000</v>
      </c>
      <c r="R19" s="1001"/>
      <c r="S19" s="1004"/>
      <c r="T19" s="1004"/>
    </row>
    <row r="20" spans="2:20" s="1003" customFormat="1" ht="51" x14ac:dyDescent="0.25">
      <c r="B20" s="1102" t="s">
        <v>137</v>
      </c>
      <c r="C20" s="1100" t="s">
        <v>2528</v>
      </c>
      <c r="D20" s="1000" t="s">
        <v>40</v>
      </c>
      <c r="E20" s="1001">
        <v>98.89</v>
      </c>
      <c r="F20" s="1001">
        <v>12</v>
      </c>
      <c r="G20" s="1001">
        <v>2500</v>
      </c>
      <c r="H20" s="1001">
        <v>12</v>
      </c>
      <c r="I20" s="1001">
        <v>3000</v>
      </c>
      <c r="J20" s="1001">
        <v>12</v>
      </c>
      <c r="K20" s="1001">
        <v>3500</v>
      </c>
      <c r="L20" s="1001">
        <v>12</v>
      </c>
      <c r="M20" s="1001">
        <v>3800</v>
      </c>
      <c r="N20" s="1001">
        <v>12</v>
      </c>
      <c r="O20" s="1001">
        <v>4200</v>
      </c>
      <c r="P20" s="1001">
        <v>12</v>
      </c>
      <c r="Q20" s="1001">
        <v>4500</v>
      </c>
      <c r="R20" s="1001"/>
      <c r="S20" s="1004"/>
      <c r="T20" s="1004"/>
    </row>
    <row r="21" spans="2:20" s="1060" customFormat="1" ht="38.25" customHeight="1" x14ac:dyDescent="0.25">
      <c r="B21" s="1061" t="s">
        <v>65</v>
      </c>
      <c r="C21" s="1062" t="s">
        <v>3234</v>
      </c>
      <c r="D21" s="1062" t="s">
        <v>19</v>
      </c>
      <c r="E21" s="1058">
        <v>93.9</v>
      </c>
      <c r="F21" s="1058"/>
      <c r="G21" s="1058">
        <f>SUM(G23:G27)</f>
        <v>33500</v>
      </c>
      <c r="H21" s="1058">
        <v>100</v>
      </c>
      <c r="I21" s="1058">
        <f>SUM(I23:I27)</f>
        <v>29900</v>
      </c>
      <c r="J21" s="1058">
        <v>100</v>
      </c>
      <c r="K21" s="1058">
        <f>SUM(K23:K27)</f>
        <v>38000</v>
      </c>
      <c r="L21" s="1058">
        <v>100</v>
      </c>
      <c r="M21" s="1058">
        <f>SUM(M23:M27)</f>
        <v>42000</v>
      </c>
      <c r="N21" s="1058">
        <v>100</v>
      </c>
      <c r="O21" s="1058">
        <f>SUM(O23:O27)</f>
        <v>45000</v>
      </c>
      <c r="P21" s="1058">
        <v>100</v>
      </c>
      <c r="Q21" s="1058">
        <f>SUM(Q23:Q27)</f>
        <v>49000</v>
      </c>
      <c r="R21" s="1058">
        <f>E21+F21+H21+J21+L21+N21</f>
        <v>493.9</v>
      </c>
      <c r="S21" s="1059"/>
      <c r="T21" s="1059"/>
    </row>
    <row r="22" spans="2:20" s="1003" customFormat="1" ht="38.25" x14ac:dyDescent="0.25">
      <c r="B22" s="1010"/>
      <c r="C22" s="999" t="s">
        <v>3235</v>
      </c>
      <c r="D22" s="999" t="s">
        <v>19</v>
      </c>
      <c r="E22" s="1001">
        <v>100</v>
      </c>
      <c r="F22" s="1001">
        <v>100</v>
      </c>
      <c r="G22" s="1006"/>
      <c r="H22" s="1001">
        <v>100</v>
      </c>
      <c r="I22" s="1006"/>
      <c r="J22" s="1001">
        <v>100</v>
      </c>
      <c r="K22" s="1006"/>
      <c r="L22" s="1001">
        <v>100</v>
      </c>
      <c r="M22" s="1006"/>
      <c r="N22" s="1001">
        <v>100</v>
      </c>
      <c r="O22" s="1006"/>
      <c r="P22" s="1001">
        <v>100</v>
      </c>
      <c r="Q22" s="1006"/>
      <c r="R22" s="1001">
        <v>100</v>
      </c>
      <c r="S22" s="1004"/>
      <c r="T22" s="1004"/>
    </row>
    <row r="23" spans="2:20" s="1003" customFormat="1" ht="25.5" x14ac:dyDescent="0.25">
      <c r="B23" s="998" t="s">
        <v>3236</v>
      </c>
      <c r="C23" s="1000" t="s">
        <v>3237</v>
      </c>
      <c r="D23" s="1000" t="s">
        <v>75</v>
      </c>
      <c r="E23" s="1001">
        <v>100</v>
      </c>
      <c r="F23" s="1001">
        <v>12</v>
      </c>
      <c r="G23" s="1001">
        <v>7000</v>
      </c>
      <c r="H23" s="1001">
        <v>1</v>
      </c>
      <c r="I23" s="1001">
        <v>4000</v>
      </c>
      <c r="J23" s="1001">
        <v>12</v>
      </c>
      <c r="K23" s="1001">
        <v>8500</v>
      </c>
      <c r="L23" s="1001">
        <v>12</v>
      </c>
      <c r="M23" s="1001">
        <v>9000</v>
      </c>
      <c r="N23" s="1001">
        <v>12</v>
      </c>
      <c r="O23" s="1001">
        <v>9500</v>
      </c>
      <c r="P23" s="1001">
        <v>30</v>
      </c>
      <c r="Q23" s="1001">
        <v>10000</v>
      </c>
      <c r="R23" s="1001"/>
      <c r="S23" s="1004"/>
      <c r="T23" s="1004"/>
    </row>
    <row r="24" spans="2:20" s="1003" customFormat="1" ht="25.5" x14ac:dyDescent="0.25">
      <c r="B24" s="998" t="s">
        <v>3238</v>
      </c>
      <c r="C24" s="1000" t="s">
        <v>3239</v>
      </c>
      <c r="D24" s="1000" t="s">
        <v>69</v>
      </c>
      <c r="E24" s="1001"/>
      <c r="F24" s="1001">
        <v>1</v>
      </c>
      <c r="G24" s="1001">
        <v>18000</v>
      </c>
      <c r="H24" s="1001">
        <v>1</v>
      </c>
      <c r="I24" s="1001">
        <v>17000</v>
      </c>
      <c r="J24" s="1001">
        <v>1</v>
      </c>
      <c r="K24" s="1001">
        <v>19000</v>
      </c>
      <c r="L24" s="1001">
        <v>1</v>
      </c>
      <c r="M24" s="1001">
        <v>21000</v>
      </c>
      <c r="N24" s="1001">
        <v>1</v>
      </c>
      <c r="O24" s="1001">
        <v>22000</v>
      </c>
      <c r="P24" s="1001">
        <v>1</v>
      </c>
      <c r="Q24" s="1001">
        <v>23000</v>
      </c>
      <c r="R24" s="1001"/>
      <c r="S24" s="1004"/>
      <c r="T24" s="1004"/>
    </row>
    <row r="25" spans="2:20" s="1003" customFormat="1" ht="38.25" x14ac:dyDescent="0.25">
      <c r="B25" s="1007" t="s">
        <v>3240</v>
      </c>
      <c r="C25" s="999" t="s">
        <v>3241</v>
      </c>
      <c r="D25" s="999" t="s">
        <v>40</v>
      </c>
      <c r="E25" s="1001">
        <v>100</v>
      </c>
      <c r="F25" s="1001">
        <v>1</v>
      </c>
      <c r="G25" s="1001">
        <v>3000</v>
      </c>
      <c r="H25" s="1001">
        <v>12</v>
      </c>
      <c r="I25" s="1001">
        <v>3000</v>
      </c>
      <c r="J25" s="1001">
        <v>12</v>
      </c>
      <c r="K25" s="1001">
        <v>3500</v>
      </c>
      <c r="L25" s="1001">
        <v>12</v>
      </c>
      <c r="M25" s="1001">
        <v>4000</v>
      </c>
      <c r="N25" s="1001">
        <v>12</v>
      </c>
      <c r="O25" s="1001">
        <v>4500</v>
      </c>
      <c r="P25" s="1001">
        <v>12</v>
      </c>
      <c r="Q25" s="1001">
        <v>6000</v>
      </c>
      <c r="R25" s="1001"/>
      <c r="S25" s="1004"/>
      <c r="T25" s="1004"/>
    </row>
    <row r="26" spans="2:20" s="1003" customFormat="1" ht="38.25" x14ac:dyDescent="0.25">
      <c r="B26" s="1007" t="s">
        <v>3242</v>
      </c>
      <c r="C26" s="999" t="s">
        <v>3160</v>
      </c>
      <c r="D26" s="999" t="s">
        <v>40</v>
      </c>
      <c r="E26" s="1001">
        <v>100</v>
      </c>
      <c r="F26" s="1001">
        <v>12</v>
      </c>
      <c r="G26" s="1001">
        <v>4000</v>
      </c>
      <c r="H26" s="1001">
        <v>12</v>
      </c>
      <c r="I26" s="1001">
        <v>4000</v>
      </c>
      <c r="J26" s="1001">
        <v>12</v>
      </c>
      <c r="K26" s="1001">
        <v>4500</v>
      </c>
      <c r="L26" s="1001">
        <v>12</v>
      </c>
      <c r="M26" s="1001">
        <v>5000</v>
      </c>
      <c r="N26" s="1001">
        <v>12</v>
      </c>
      <c r="O26" s="1001">
        <v>5500</v>
      </c>
      <c r="P26" s="1001">
        <v>12</v>
      </c>
      <c r="Q26" s="1001">
        <v>6000</v>
      </c>
      <c r="R26" s="1001"/>
      <c r="S26" s="1004"/>
      <c r="T26" s="1004"/>
    </row>
    <row r="27" spans="2:20" s="1003" customFormat="1" ht="38.25" x14ac:dyDescent="0.25">
      <c r="B27" s="1007" t="s">
        <v>3243</v>
      </c>
      <c r="C27" s="999" t="s">
        <v>3244</v>
      </c>
      <c r="D27" s="999" t="s">
        <v>40</v>
      </c>
      <c r="E27" s="1001">
        <v>96</v>
      </c>
      <c r="F27" s="1001">
        <v>12</v>
      </c>
      <c r="G27" s="1001">
        <v>1500</v>
      </c>
      <c r="H27" s="1001">
        <v>12</v>
      </c>
      <c r="I27" s="1001">
        <v>1900</v>
      </c>
      <c r="J27" s="1001">
        <v>12</v>
      </c>
      <c r="K27" s="1001">
        <v>2500</v>
      </c>
      <c r="L27" s="1001">
        <v>12</v>
      </c>
      <c r="M27" s="1001">
        <v>3000</v>
      </c>
      <c r="N27" s="1001">
        <v>12</v>
      </c>
      <c r="O27" s="1001">
        <v>3500</v>
      </c>
      <c r="P27" s="1001">
        <v>12</v>
      </c>
      <c r="Q27" s="1001">
        <v>4000</v>
      </c>
      <c r="R27" s="1001"/>
      <c r="S27" s="1004"/>
      <c r="T27" s="1004"/>
    </row>
    <row r="28" spans="2:20" s="1003" customFormat="1" ht="63.75" x14ac:dyDescent="0.25">
      <c r="B28" s="1106" t="s">
        <v>3245</v>
      </c>
      <c r="C28" s="1000" t="s">
        <v>3246</v>
      </c>
      <c r="D28" s="1000" t="s">
        <v>79</v>
      </c>
      <c r="E28" s="1001">
        <v>98</v>
      </c>
      <c r="F28" s="1001">
        <f>F29</f>
        <v>5</v>
      </c>
      <c r="G28" s="1001">
        <f>G29</f>
        <v>6000</v>
      </c>
      <c r="H28" s="1001">
        <v>5</v>
      </c>
      <c r="I28" s="1001">
        <f t="shared" ref="I28:Q28" si="0">I29</f>
        <v>7000</v>
      </c>
      <c r="J28" s="1001">
        <v>5</v>
      </c>
      <c r="K28" s="1001">
        <f t="shared" si="0"/>
        <v>7500</v>
      </c>
      <c r="L28" s="1001">
        <v>5</v>
      </c>
      <c r="M28" s="1001">
        <f t="shared" si="0"/>
        <v>8000</v>
      </c>
      <c r="N28" s="1001">
        <v>5</v>
      </c>
      <c r="O28" s="1001">
        <f t="shared" si="0"/>
        <v>8500</v>
      </c>
      <c r="P28" s="1001">
        <v>5</v>
      </c>
      <c r="Q28" s="1001">
        <f t="shared" si="0"/>
        <v>10000</v>
      </c>
      <c r="R28" s="1001">
        <f>E28+F28+H28+J28+L28+N28</f>
        <v>123</v>
      </c>
      <c r="S28" s="1004"/>
      <c r="T28" s="1004"/>
    </row>
    <row r="29" spans="2:20" s="1003" customFormat="1" ht="102" x14ac:dyDescent="0.25">
      <c r="B29" s="998" t="s">
        <v>80</v>
      </c>
      <c r="C29" s="1000" t="s">
        <v>3247</v>
      </c>
      <c r="D29" s="1000" t="s">
        <v>79</v>
      </c>
      <c r="E29" s="1001">
        <v>98.4</v>
      </c>
      <c r="F29" s="1001">
        <v>5</v>
      </c>
      <c r="G29" s="1001">
        <v>6000</v>
      </c>
      <c r="H29" s="1001">
        <v>5</v>
      </c>
      <c r="I29" s="1001">
        <v>7000</v>
      </c>
      <c r="J29" s="1001">
        <v>5</v>
      </c>
      <c r="K29" s="1001">
        <v>7500</v>
      </c>
      <c r="L29" s="1001">
        <v>5</v>
      </c>
      <c r="M29" s="1001">
        <v>8000</v>
      </c>
      <c r="N29" s="1001">
        <v>5</v>
      </c>
      <c r="O29" s="1001">
        <v>8500</v>
      </c>
      <c r="P29" s="1001">
        <v>5</v>
      </c>
      <c r="Q29" s="1001">
        <v>10000</v>
      </c>
      <c r="R29" s="1001"/>
      <c r="S29" s="1004"/>
      <c r="T29" s="1004"/>
    </row>
    <row r="30" spans="2:20" s="1003" customFormat="1" ht="48" x14ac:dyDescent="0.25">
      <c r="B30" s="1106" t="s">
        <v>3248</v>
      </c>
      <c r="C30" s="1000" t="s">
        <v>3249</v>
      </c>
      <c r="D30" s="1000" t="s">
        <v>79</v>
      </c>
      <c r="E30" s="1001">
        <v>87</v>
      </c>
      <c r="F30" s="1001">
        <v>4</v>
      </c>
      <c r="G30" s="1001">
        <f>G31</f>
        <v>11000</v>
      </c>
      <c r="H30" s="1001">
        <v>4</v>
      </c>
      <c r="I30" s="1001">
        <f t="shared" ref="I30:Q30" si="1">I31</f>
        <v>11000</v>
      </c>
      <c r="J30" s="1001">
        <v>4</v>
      </c>
      <c r="K30" s="1001">
        <f t="shared" si="1"/>
        <v>11500</v>
      </c>
      <c r="L30" s="1001">
        <v>4</v>
      </c>
      <c r="M30" s="1001">
        <f t="shared" si="1"/>
        <v>12000</v>
      </c>
      <c r="N30" s="1001">
        <v>4</v>
      </c>
      <c r="O30" s="1001">
        <f t="shared" si="1"/>
        <v>13500</v>
      </c>
      <c r="P30" s="1001">
        <v>4</v>
      </c>
      <c r="Q30" s="1001">
        <f t="shared" si="1"/>
        <v>14000</v>
      </c>
      <c r="R30" s="1001">
        <f>E30+F30+H30+J30+L30+N30</f>
        <v>107</v>
      </c>
      <c r="S30" s="1004"/>
      <c r="T30" s="1004"/>
    </row>
    <row r="31" spans="2:20" s="1003" customFormat="1" ht="63.75" x14ac:dyDescent="0.25">
      <c r="B31" s="998" t="s">
        <v>1712</v>
      </c>
      <c r="C31" s="1000" t="s">
        <v>3250</v>
      </c>
      <c r="D31" s="1000"/>
      <c r="E31" s="1001"/>
      <c r="F31" s="1001">
        <v>4</v>
      </c>
      <c r="G31" s="1001">
        <v>11000</v>
      </c>
      <c r="H31" s="1001">
        <v>4</v>
      </c>
      <c r="I31" s="1001">
        <v>11000</v>
      </c>
      <c r="J31" s="1001">
        <v>4</v>
      </c>
      <c r="K31" s="1001">
        <v>11500</v>
      </c>
      <c r="L31" s="1001">
        <v>4</v>
      </c>
      <c r="M31" s="1001">
        <v>12000</v>
      </c>
      <c r="N31" s="1001">
        <v>4</v>
      </c>
      <c r="O31" s="1001">
        <v>13500</v>
      </c>
      <c r="P31" s="1001">
        <v>4</v>
      </c>
      <c r="Q31" s="1001">
        <v>14000</v>
      </c>
      <c r="R31" s="1001"/>
      <c r="S31" s="1004"/>
      <c r="T31" s="1004"/>
    </row>
    <row r="32" spans="2:20" s="1003" customFormat="1" ht="63.75" customHeight="1" x14ac:dyDescent="0.25">
      <c r="B32" s="1063" t="s">
        <v>3251</v>
      </c>
      <c r="C32" s="1000" t="s">
        <v>3252</v>
      </c>
      <c r="D32" s="1000" t="s">
        <v>79</v>
      </c>
      <c r="E32" s="1001"/>
      <c r="F32" s="1001">
        <v>3</v>
      </c>
      <c r="G32" s="1006">
        <v>40000</v>
      </c>
      <c r="H32" s="1001">
        <v>3</v>
      </c>
      <c r="I32" s="1006">
        <v>37549</v>
      </c>
      <c r="J32" s="1001">
        <v>3</v>
      </c>
      <c r="K32" s="1006">
        <v>42500</v>
      </c>
      <c r="L32" s="1001">
        <v>3</v>
      </c>
      <c r="M32" s="1006">
        <v>46000</v>
      </c>
      <c r="N32" s="1001">
        <v>3</v>
      </c>
      <c r="O32" s="1006">
        <v>49500</v>
      </c>
      <c r="P32" s="1001">
        <v>3</v>
      </c>
      <c r="Q32" s="1006">
        <v>52000</v>
      </c>
      <c r="R32" s="1001">
        <f>E32+F32+H32+J32+L32+N32</f>
        <v>15</v>
      </c>
      <c r="S32" s="1004"/>
      <c r="T32" s="1004"/>
    </row>
    <row r="33" spans="2:20" s="1003" customFormat="1" ht="38.25" x14ac:dyDescent="0.25">
      <c r="B33" s="1008"/>
      <c r="C33" s="1000" t="s">
        <v>3253</v>
      </c>
      <c r="D33" s="1000" t="s">
        <v>79</v>
      </c>
      <c r="E33" s="1001"/>
      <c r="F33" s="1001"/>
      <c r="G33" s="1006"/>
      <c r="H33" s="1001"/>
      <c r="I33" s="1006"/>
      <c r="J33" s="1001"/>
      <c r="K33" s="1006"/>
      <c r="L33" s="1001"/>
      <c r="M33" s="1006"/>
      <c r="N33" s="1001"/>
      <c r="O33" s="1006"/>
      <c r="P33" s="1001"/>
      <c r="Q33" s="1006"/>
      <c r="R33" s="1001">
        <f>E33+F33+H33+J33+L33+N33</f>
        <v>0</v>
      </c>
      <c r="S33" s="1004"/>
      <c r="T33" s="1004"/>
    </row>
    <row r="34" spans="2:20" s="1003" customFormat="1" ht="38.25" x14ac:dyDescent="0.25">
      <c r="B34" s="998" t="s">
        <v>3254</v>
      </c>
      <c r="C34" s="1000" t="s">
        <v>3255</v>
      </c>
      <c r="D34" s="1000" t="s">
        <v>103</v>
      </c>
      <c r="E34" s="1001">
        <v>2</v>
      </c>
      <c r="F34" s="1001">
        <v>2</v>
      </c>
      <c r="G34" s="1001">
        <v>30000</v>
      </c>
      <c r="H34" s="1001">
        <v>2</v>
      </c>
      <c r="I34" s="1001">
        <v>30000</v>
      </c>
      <c r="J34" s="1001">
        <v>2</v>
      </c>
      <c r="K34" s="1001">
        <v>34000</v>
      </c>
      <c r="L34" s="1001">
        <v>2</v>
      </c>
      <c r="M34" s="1001">
        <v>37000</v>
      </c>
      <c r="N34" s="1001">
        <v>2</v>
      </c>
      <c r="O34" s="1001">
        <v>40000</v>
      </c>
      <c r="P34" s="1001">
        <v>2</v>
      </c>
      <c r="Q34" s="1001">
        <v>42000</v>
      </c>
      <c r="R34" s="1001"/>
      <c r="S34" s="1004"/>
      <c r="T34" s="1004"/>
    </row>
    <row r="35" spans="2:20" s="1003" customFormat="1" ht="51" x14ac:dyDescent="0.25">
      <c r="B35" s="998" t="s">
        <v>3256</v>
      </c>
      <c r="C35" s="1000" t="s">
        <v>3257</v>
      </c>
      <c r="D35" s="1000" t="s">
        <v>103</v>
      </c>
      <c r="E35" s="1001">
        <v>100</v>
      </c>
      <c r="F35" s="1001">
        <v>1</v>
      </c>
      <c r="G35" s="1001">
        <v>10000</v>
      </c>
      <c r="H35" s="1001">
        <v>1</v>
      </c>
      <c r="I35" s="1001">
        <v>7549</v>
      </c>
      <c r="J35" s="1001">
        <v>1</v>
      </c>
      <c r="K35" s="1001">
        <v>8500</v>
      </c>
      <c r="L35" s="1001">
        <v>1</v>
      </c>
      <c r="M35" s="1001">
        <v>9000</v>
      </c>
      <c r="N35" s="1001">
        <v>1</v>
      </c>
      <c r="O35" s="1001">
        <v>9600</v>
      </c>
      <c r="P35" s="1001">
        <v>1</v>
      </c>
      <c r="Q35" s="1001">
        <v>11000</v>
      </c>
      <c r="R35" s="1001"/>
      <c r="S35" s="1004"/>
      <c r="T35" s="1004"/>
    </row>
    <row r="36" spans="2:20" s="1003" customFormat="1" ht="60" x14ac:dyDescent="0.25">
      <c r="B36" s="1063" t="s">
        <v>270</v>
      </c>
      <c r="C36" s="1000" t="s">
        <v>3258</v>
      </c>
      <c r="D36" s="1000" t="s">
        <v>19</v>
      </c>
      <c r="E36" s="1001"/>
      <c r="F36" s="1001"/>
      <c r="G36" s="1001"/>
      <c r="H36" s="1001">
        <v>100</v>
      </c>
      <c r="I36" s="1001">
        <v>5000</v>
      </c>
      <c r="J36" s="1001">
        <v>100</v>
      </c>
      <c r="K36" s="1001">
        <v>6000</v>
      </c>
      <c r="L36" s="1001">
        <v>100</v>
      </c>
      <c r="M36" s="1001">
        <v>6500</v>
      </c>
      <c r="N36" s="1001">
        <v>100</v>
      </c>
      <c r="O36" s="1001">
        <v>7000</v>
      </c>
      <c r="P36" s="1001">
        <v>100</v>
      </c>
      <c r="Q36" s="1001">
        <v>7500</v>
      </c>
      <c r="R36" s="1001"/>
      <c r="S36" s="1004"/>
      <c r="T36" s="1004"/>
    </row>
    <row r="37" spans="2:20" s="1003" customFormat="1" ht="38.25" x14ac:dyDescent="0.25">
      <c r="B37" s="1008" t="s">
        <v>276</v>
      </c>
      <c r="C37" s="1000" t="s">
        <v>3258</v>
      </c>
      <c r="D37" s="1000" t="s">
        <v>324</v>
      </c>
      <c r="E37" s="1001"/>
      <c r="F37" s="1001"/>
      <c r="G37" s="1001"/>
      <c r="H37" s="1001">
        <v>2</v>
      </c>
      <c r="I37" s="1001">
        <v>5000</v>
      </c>
      <c r="J37" s="1001">
        <v>2</v>
      </c>
      <c r="K37" s="1001">
        <v>6000</v>
      </c>
      <c r="L37" s="1001">
        <v>2</v>
      </c>
      <c r="M37" s="1001">
        <v>6500</v>
      </c>
      <c r="N37" s="1001">
        <v>2</v>
      </c>
      <c r="O37" s="1001">
        <v>7000</v>
      </c>
      <c r="P37" s="1001">
        <v>2</v>
      </c>
      <c r="Q37" s="1001">
        <v>7500</v>
      </c>
      <c r="R37" s="1001"/>
      <c r="S37" s="1004"/>
      <c r="T37" s="1004"/>
    </row>
    <row r="38" spans="2:20" s="1003" customFormat="1" ht="96" x14ac:dyDescent="0.25">
      <c r="B38" s="1237" t="s">
        <v>3259</v>
      </c>
      <c r="C38" s="1000" t="s">
        <v>3260</v>
      </c>
      <c r="D38" s="1000" t="s">
        <v>19</v>
      </c>
      <c r="E38" s="1001">
        <v>100</v>
      </c>
      <c r="F38" s="1001">
        <v>0</v>
      </c>
      <c r="G38" s="1001">
        <v>53100</v>
      </c>
      <c r="H38" s="1001">
        <v>100</v>
      </c>
      <c r="I38" s="1001">
        <v>51000</v>
      </c>
      <c r="J38" s="1001">
        <v>100</v>
      </c>
      <c r="K38" s="1001">
        <v>55000</v>
      </c>
      <c r="L38" s="1001">
        <v>100</v>
      </c>
      <c r="M38" s="1001">
        <v>60000</v>
      </c>
      <c r="N38" s="1001">
        <v>100</v>
      </c>
      <c r="O38" s="1001">
        <v>65000</v>
      </c>
      <c r="P38" s="1001">
        <v>100</v>
      </c>
      <c r="Q38" s="1001">
        <v>70000</v>
      </c>
      <c r="R38" s="1001">
        <v>100</v>
      </c>
      <c r="S38" s="1004"/>
      <c r="T38" s="1004"/>
    </row>
    <row r="39" spans="2:20" s="1003" customFormat="1" ht="76.5" x14ac:dyDescent="0.25">
      <c r="B39" s="998" t="s">
        <v>3261</v>
      </c>
      <c r="C39" s="1000" t="s">
        <v>3262</v>
      </c>
      <c r="D39" s="1000" t="s">
        <v>40</v>
      </c>
      <c r="E39" s="1001"/>
      <c r="F39" s="1001">
        <v>12</v>
      </c>
      <c r="G39" s="1001">
        <v>53100</v>
      </c>
      <c r="H39" s="1001">
        <v>12</v>
      </c>
      <c r="I39" s="1001">
        <v>51000</v>
      </c>
      <c r="J39" s="1001">
        <v>12</v>
      </c>
      <c r="K39" s="1001">
        <v>55000</v>
      </c>
      <c r="L39" s="1001">
        <v>12</v>
      </c>
      <c r="M39" s="1001">
        <v>60000</v>
      </c>
      <c r="N39" s="1001">
        <v>12</v>
      </c>
      <c r="O39" s="1001">
        <v>65000</v>
      </c>
      <c r="P39" s="1001">
        <v>12</v>
      </c>
      <c r="Q39" s="1001">
        <v>70000</v>
      </c>
      <c r="R39" s="1001"/>
      <c r="S39" s="1004"/>
      <c r="T39" s="1004"/>
    </row>
    <row r="40" spans="2:20" s="1003" customFormat="1" ht="84" x14ac:dyDescent="0.25">
      <c r="B40" s="1106" t="s">
        <v>688</v>
      </c>
      <c r="C40" s="1000"/>
      <c r="D40" s="1000" t="s">
        <v>19</v>
      </c>
      <c r="E40" s="1001">
        <v>0</v>
      </c>
      <c r="F40" s="1001">
        <v>0</v>
      </c>
      <c r="G40" s="1001">
        <v>0</v>
      </c>
      <c r="H40" s="1001">
        <v>100</v>
      </c>
      <c r="I40" s="1001">
        <v>17000</v>
      </c>
      <c r="J40" s="1001">
        <v>100</v>
      </c>
      <c r="K40" s="1001">
        <v>18000</v>
      </c>
      <c r="L40" s="1001">
        <v>100</v>
      </c>
      <c r="M40" s="1001">
        <v>18500</v>
      </c>
      <c r="N40" s="1001">
        <v>100</v>
      </c>
      <c r="O40" s="1001">
        <v>19000</v>
      </c>
      <c r="P40" s="1001">
        <v>100</v>
      </c>
      <c r="Q40" s="1001">
        <v>21000</v>
      </c>
      <c r="R40" s="1001"/>
      <c r="S40" s="1004"/>
      <c r="T40" s="1004"/>
    </row>
    <row r="41" spans="2:20" s="1003" customFormat="1" ht="63.75" x14ac:dyDescent="0.25">
      <c r="B41" s="998" t="s">
        <v>3263</v>
      </c>
      <c r="C41" s="1000" t="s">
        <v>3264</v>
      </c>
      <c r="D41" s="1000" t="s">
        <v>40</v>
      </c>
      <c r="E41" s="1001"/>
      <c r="F41" s="1001"/>
      <c r="G41" s="1001">
        <v>0</v>
      </c>
      <c r="H41" s="1001">
        <v>12</v>
      </c>
      <c r="I41" s="1001">
        <v>17000</v>
      </c>
      <c r="J41" s="1001">
        <v>12</v>
      </c>
      <c r="K41" s="1001">
        <v>18000</v>
      </c>
      <c r="L41" s="1001">
        <v>12</v>
      </c>
      <c r="M41" s="1001">
        <v>18500</v>
      </c>
      <c r="N41" s="1001">
        <v>12</v>
      </c>
      <c r="O41" s="1001">
        <v>19000</v>
      </c>
      <c r="P41" s="1001">
        <v>12</v>
      </c>
      <c r="Q41" s="1001">
        <v>21000</v>
      </c>
      <c r="R41" s="1001"/>
      <c r="S41" s="1004"/>
      <c r="T41" s="1004"/>
    </row>
    <row r="42" spans="2:20" s="1003" customFormat="1" ht="84" x14ac:dyDescent="0.25">
      <c r="B42" s="1106" t="s">
        <v>1743</v>
      </c>
      <c r="C42" s="1000" t="s">
        <v>3265</v>
      </c>
      <c r="D42" s="1000" t="s">
        <v>19</v>
      </c>
      <c r="E42" s="1001">
        <v>100</v>
      </c>
      <c r="F42" s="1001">
        <v>24</v>
      </c>
      <c r="G42" s="1001">
        <v>49000</v>
      </c>
      <c r="H42" s="1001">
        <v>24</v>
      </c>
      <c r="I42" s="1001">
        <v>20300</v>
      </c>
      <c r="J42" s="1001">
        <v>24</v>
      </c>
      <c r="K42" s="1001">
        <v>21000</v>
      </c>
      <c r="L42" s="1001">
        <v>24</v>
      </c>
      <c r="M42" s="1001">
        <v>22000</v>
      </c>
      <c r="N42" s="1001">
        <v>24</v>
      </c>
      <c r="O42" s="1001">
        <v>23000</v>
      </c>
      <c r="P42" s="1001">
        <v>24</v>
      </c>
      <c r="Q42" s="1001">
        <v>24000</v>
      </c>
      <c r="R42" s="1001">
        <v>100</v>
      </c>
      <c r="S42" s="1004"/>
      <c r="T42" s="1004"/>
    </row>
    <row r="43" spans="2:20" s="1003" customFormat="1" ht="25.5" x14ac:dyDescent="0.25">
      <c r="B43" s="998" t="s">
        <v>3266</v>
      </c>
      <c r="C43" s="1000" t="s">
        <v>3267</v>
      </c>
      <c r="D43" s="1000" t="s">
        <v>103</v>
      </c>
      <c r="E43" s="1001">
        <v>93</v>
      </c>
      <c r="F43" s="1001">
        <v>432</v>
      </c>
      <c r="G43" s="1001">
        <v>49000</v>
      </c>
      <c r="H43" s="1001">
        <v>432</v>
      </c>
      <c r="I43" s="1001">
        <v>20300</v>
      </c>
      <c r="J43" s="1001">
        <v>432</v>
      </c>
      <c r="K43" s="1001">
        <v>21000</v>
      </c>
      <c r="L43" s="1001">
        <v>432</v>
      </c>
      <c r="M43" s="1001">
        <v>22000</v>
      </c>
      <c r="N43" s="1001">
        <v>432</v>
      </c>
      <c r="O43" s="1001">
        <v>23000</v>
      </c>
      <c r="P43" s="1001">
        <v>24</v>
      </c>
      <c r="Q43" s="1001">
        <v>24000</v>
      </c>
      <c r="R43" s="1001"/>
      <c r="S43" s="1004"/>
      <c r="T43" s="1004"/>
    </row>
    <row r="44" spans="2:20" s="1003" customFormat="1" ht="51" x14ac:dyDescent="0.25">
      <c r="B44" s="998" t="s">
        <v>3268</v>
      </c>
      <c r="C44" s="1000" t="s">
        <v>3269</v>
      </c>
      <c r="D44" s="1000" t="s">
        <v>103</v>
      </c>
      <c r="E44" s="1001"/>
      <c r="F44" s="1001"/>
      <c r="G44" s="1001"/>
      <c r="H44" s="1001">
        <v>1</v>
      </c>
      <c r="I44" s="1001">
        <v>5500</v>
      </c>
      <c r="J44" s="1001">
        <v>1</v>
      </c>
      <c r="K44" s="1001">
        <v>6000</v>
      </c>
      <c r="L44" s="1001">
        <v>1</v>
      </c>
      <c r="M44" s="1001">
        <v>6500</v>
      </c>
      <c r="N44" s="1001">
        <v>1</v>
      </c>
      <c r="O44" s="1001">
        <v>7000</v>
      </c>
      <c r="P44" s="1001">
        <v>1</v>
      </c>
      <c r="Q44" s="1001">
        <v>7500</v>
      </c>
      <c r="R44" s="1001"/>
      <c r="S44" s="1004"/>
      <c r="T44" s="1004"/>
    </row>
    <row r="45" spans="2:20" s="1003" customFormat="1" ht="51" x14ac:dyDescent="0.25">
      <c r="B45" s="998" t="s">
        <v>3270</v>
      </c>
      <c r="C45" s="1000" t="s">
        <v>3271</v>
      </c>
      <c r="D45" s="1000" t="s">
        <v>265</v>
      </c>
      <c r="E45" s="1001">
        <v>0</v>
      </c>
      <c r="F45" s="1001">
        <v>0</v>
      </c>
      <c r="G45" s="1001">
        <v>0</v>
      </c>
      <c r="H45" s="1001">
        <v>24</v>
      </c>
      <c r="I45" s="1001">
        <v>24000</v>
      </c>
      <c r="J45" s="1001">
        <v>24</v>
      </c>
      <c r="K45" s="1001">
        <v>25000</v>
      </c>
      <c r="L45" s="1001">
        <v>24</v>
      </c>
      <c r="M45" s="1001">
        <v>26000</v>
      </c>
      <c r="N45" s="1001">
        <v>24</v>
      </c>
      <c r="O45" s="1001">
        <v>25500</v>
      </c>
      <c r="P45" s="1001">
        <v>24</v>
      </c>
      <c r="Q45" s="1001">
        <v>26000</v>
      </c>
      <c r="R45" s="1001"/>
      <c r="S45" s="1004"/>
      <c r="T45" s="1004"/>
    </row>
    <row r="46" spans="2:20" s="1003" customFormat="1" ht="76.5" x14ac:dyDescent="0.25">
      <c r="B46" s="998" t="s">
        <v>3272</v>
      </c>
      <c r="C46" s="1000" t="s">
        <v>3273</v>
      </c>
      <c r="D46" s="1000" t="s">
        <v>265</v>
      </c>
      <c r="E46" s="1001"/>
      <c r="F46" s="1001">
        <v>24</v>
      </c>
      <c r="G46" s="1001">
        <v>25000</v>
      </c>
      <c r="H46" s="1001">
        <v>24</v>
      </c>
      <c r="I46" s="1001">
        <v>20300</v>
      </c>
      <c r="J46" s="1001">
        <v>24</v>
      </c>
      <c r="K46" s="1001">
        <v>21000</v>
      </c>
      <c r="L46" s="1001">
        <v>24</v>
      </c>
      <c r="M46" s="1001">
        <v>22000</v>
      </c>
      <c r="N46" s="1001">
        <v>24</v>
      </c>
      <c r="O46" s="1001">
        <v>23000</v>
      </c>
      <c r="P46" s="1001">
        <v>24</v>
      </c>
      <c r="Q46" s="1001">
        <v>24000</v>
      </c>
      <c r="R46" s="1001"/>
      <c r="S46" s="1004"/>
      <c r="T46" s="1004"/>
    </row>
    <row r="47" spans="2:20" s="1003" customFormat="1" ht="63.75" customHeight="1" x14ac:dyDescent="0.25">
      <c r="B47" s="1063" t="s">
        <v>3275</v>
      </c>
      <c r="C47" s="1000" t="s">
        <v>3276</v>
      </c>
      <c r="D47" s="1000" t="s">
        <v>79</v>
      </c>
      <c r="E47" s="1001">
        <v>100</v>
      </c>
      <c r="F47" s="1001">
        <v>1</v>
      </c>
      <c r="G47" s="1001">
        <f>SUM(G48)</f>
        <v>5000</v>
      </c>
      <c r="H47" s="1001">
        <v>1</v>
      </c>
      <c r="I47" s="1001">
        <f>SUM(I48)</f>
        <v>5000</v>
      </c>
      <c r="J47" s="1001">
        <v>1</v>
      </c>
      <c r="K47" s="1001">
        <f>SUM(K48)</f>
        <v>6000</v>
      </c>
      <c r="L47" s="1001">
        <v>1</v>
      </c>
      <c r="M47" s="1001">
        <f>SUM(M48)</f>
        <v>6500</v>
      </c>
      <c r="N47" s="1001">
        <v>1</v>
      </c>
      <c r="O47" s="1001">
        <f>SUM(O48)</f>
        <v>7000</v>
      </c>
      <c r="P47" s="1001">
        <v>1</v>
      </c>
      <c r="Q47" s="1001">
        <f>SUM(Q48)</f>
        <v>9000</v>
      </c>
      <c r="R47" s="1001">
        <f>E47+F47+H47+J47+L47+N47</f>
        <v>105</v>
      </c>
      <c r="S47" s="1004"/>
      <c r="T47" s="1004"/>
    </row>
    <row r="48" spans="2:20" s="1003" customFormat="1" ht="25.5" x14ac:dyDescent="0.25">
      <c r="B48" s="1008" t="s">
        <v>3277</v>
      </c>
      <c r="C48" s="1000" t="s">
        <v>3278</v>
      </c>
      <c r="D48" s="1000" t="s">
        <v>103</v>
      </c>
      <c r="E48" s="1001"/>
      <c r="F48" s="1001">
        <v>2</v>
      </c>
      <c r="G48" s="1001">
        <v>5000</v>
      </c>
      <c r="H48" s="1001">
        <v>2</v>
      </c>
      <c r="I48" s="1001">
        <v>5000</v>
      </c>
      <c r="J48" s="1001">
        <v>2</v>
      </c>
      <c r="K48" s="1001">
        <v>6000</v>
      </c>
      <c r="L48" s="1001">
        <v>2</v>
      </c>
      <c r="M48" s="1001">
        <v>6500</v>
      </c>
      <c r="N48" s="1001">
        <v>2</v>
      </c>
      <c r="O48" s="1001">
        <v>7000</v>
      </c>
      <c r="P48" s="1001">
        <v>2</v>
      </c>
      <c r="Q48" s="1001">
        <v>9000</v>
      </c>
      <c r="R48" s="1001"/>
      <c r="S48" s="1004"/>
      <c r="T48" s="1004"/>
    </row>
    <row r="49" spans="2:20" s="1003" customFormat="1" ht="63.75" x14ac:dyDescent="0.25">
      <c r="B49" s="1063" t="s">
        <v>3280</v>
      </c>
      <c r="C49" s="1000" t="s">
        <v>3279</v>
      </c>
      <c r="D49" s="1000" t="s">
        <v>327</v>
      </c>
      <c r="E49" s="1001">
        <v>100</v>
      </c>
      <c r="F49" s="1001">
        <v>15</v>
      </c>
      <c r="G49" s="1001">
        <f>SUM(G50:G51)</f>
        <v>9000</v>
      </c>
      <c r="H49" s="1001">
        <v>15</v>
      </c>
      <c r="I49" s="1001">
        <f>SUM(I50:I51)</f>
        <v>11000</v>
      </c>
      <c r="J49" s="1001">
        <v>15</v>
      </c>
      <c r="K49" s="1001">
        <f>SUM(K50:K51)</f>
        <v>13000</v>
      </c>
      <c r="L49" s="1001">
        <v>15</v>
      </c>
      <c r="M49" s="1001">
        <f>SUM(M50:M51)</f>
        <v>14000</v>
      </c>
      <c r="N49" s="1001">
        <v>15</v>
      </c>
      <c r="O49" s="1001">
        <f>SUM(O50:O51)</f>
        <v>15500</v>
      </c>
      <c r="P49" s="1001">
        <v>15</v>
      </c>
      <c r="Q49" s="1001">
        <f>SUM(Q50:Q51)</f>
        <v>18100</v>
      </c>
      <c r="R49" s="1001">
        <f>N49</f>
        <v>15</v>
      </c>
      <c r="S49" s="1004"/>
      <c r="T49" s="1004"/>
    </row>
    <row r="50" spans="2:20" s="1003" customFormat="1" ht="38.25" x14ac:dyDescent="0.25">
      <c r="B50" s="1008" t="s">
        <v>1298</v>
      </c>
      <c r="C50" s="1000" t="s">
        <v>3281</v>
      </c>
      <c r="D50" s="1000" t="s">
        <v>327</v>
      </c>
      <c r="E50" s="1001">
        <v>100</v>
      </c>
      <c r="F50" s="1001">
        <v>15</v>
      </c>
      <c r="G50" s="1001">
        <v>5000</v>
      </c>
      <c r="H50" s="1001">
        <v>15</v>
      </c>
      <c r="I50" s="1001">
        <v>6000</v>
      </c>
      <c r="J50" s="1001">
        <v>15</v>
      </c>
      <c r="K50" s="1001">
        <v>7000</v>
      </c>
      <c r="L50" s="1001">
        <v>15</v>
      </c>
      <c r="M50" s="1001">
        <v>7500</v>
      </c>
      <c r="N50" s="1001">
        <v>15</v>
      </c>
      <c r="O50" s="1001">
        <v>8500</v>
      </c>
      <c r="P50" s="1001">
        <v>15</v>
      </c>
      <c r="Q50" s="1001">
        <v>9500</v>
      </c>
      <c r="R50" s="1001"/>
      <c r="S50" s="1004"/>
      <c r="T50" s="1004"/>
    </row>
    <row r="51" spans="2:20" s="1003" customFormat="1" ht="38.25" x14ac:dyDescent="0.25">
      <c r="B51" s="1008" t="s">
        <v>3282</v>
      </c>
      <c r="C51" s="1000" t="s">
        <v>3283</v>
      </c>
      <c r="D51" s="1000" t="s">
        <v>327</v>
      </c>
      <c r="E51" s="1001"/>
      <c r="F51" s="1001">
        <v>4</v>
      </c>
      <c r="G51" s="1001">
        <v>4000</v>
      </c>
      <c r="H51" s="1001">
        <v>4</v>
      </c>
      <c r="I51" s="1001">
        <v>5000</v>
      </c>
      <c r="J51" s="1001">
        <v>4</v>
      </c>
      <c r="K51" s="1001">
        <v>6000</v>
      </c>
      <c r="L51" s="1001">
        <v>4</v>
      </c>
      <c r="M51" s="1001">
        <v>6500</v>
      </c>
      <c r="N51" s="1001">
        <v>4</v>
      </c>
      <c r="O51" s="1001">
        <v>7000</v>
      </c>
      <c r="P51" s="1001">
        <v>4</v>
      </c>
      <c r="Q51" s="1001">
        <v>8600</v>
      </c>
      <c r="R51" s="1001"/>
      <c r="S51" s="1004"/>
      <c r="T51" s="1004"/>
    </row>
    <row r="52" spans="2:20" s="1003" customFormat="1" ht="60" x14ac:dyDescent="0.25">
      <c r="B52" s="1106" t="s">
        <v>3284</v>
      </c>
      <c r="C52" s="1009" t="s">
        <v>3285</v>
      </c>
      <c r="D52" s="1009" t="s">
        <v>100</v>
      </c>
      <c r="E52" s="1001">
        <v>100</v>
      </c>
      <c r="F52" s="1001">
        <v>58</v>
      </c>
      <c r="G52" s="1001">
        <f>SUM(G53)</f>
        <v>8000</v>
      </c>
      <c r="H52" s="1001">
        <v>58</v>
      </c>
      <c r="I52" s="1001">
        <f>SUM(I53)</f>
        <v>8500</v>
      </c>
      <c r="J52" s="1001">
        <v>58</v>
      </c>
      <c r="K52" s="1001">
        <f>SUM(K53)</f>
        <v>9500</v>
      </c>
      <c r="L52" s="1001">
        <v>58</v>
      </c>
      <c r="M52" s="1001">
        <f>SUM(M53)</f>
        <v>10000</v>
      </c>
      <c r="N52" s="1001">
        <v>58</v>
      </c>
      <c r="O52" s="1001">
        <f>SUM(O53)</f>
        <v>11000</v>
      </c>
      <c r="P52" s="1001">
        <v>58</v>
      </c>
      <c r="Q52" s="1001">
        <f>SUM(Q53)</f>
        <v>12000</v>
      </c>
      <c r="R52" s="1001">
        <f>N52</f>
        <v>58</v>
      </c>
      <c r="S52" s="1004"/>
      <c r="T52" s="1004"/>
    </row>
    <row r="53" spans="2:20" s="1003" customFormat="1" ht="63.75" x14ac:dyDescent="0.25">
      <c r="B53" s="998" t="s">
        <v>3286</v>
      </c>
      <c r="C53" s="1009" t="s">
        <v>3287</v>
      </c>
      <c r="D53" s="1009" t="s">
        <v>100</v>
      </c>
      <c r="E53" s="1001"/>
      <c r="F53" s="1001">
        <v>58</v>
      </c>
      <c r="G53" s="1001">
        <v>8000</v>
      </c>
      <c r="H53" s="1001">
        <v>58</v>
      </c>
      <c r="I53" s="1001">
        <v>8500</v>
      </c>
      <c r="J53" s="1001">
        <v>58</v>
      </c>
      <c r="K53" s="1001">
        <v>9500</v>
      </c>
      <c r="L53" s="1001">
        <v>58</v>
      </c>
      <c r="M53" s="1001">
        <v>10000</v>
      </c>
      <c r="N53" s="1001">
        <v>58</v>
      </c>
      <c r="O53" s="1001">
        <v>11000</v>
      </c>
      <c r="P53" s="1001">
        <v>58</v>
      </c>
      <c r="Q53" s="1001">
        <v>12000</v>
      </c>
      <c r="R53" s="1001"/>
      <c r="S53" s="1004"/>
      <c r="T53" s="1004"/>
    </row>
    <row r="54" spans="2:20" s="1003" customFormat="1" ht="48" x14ac:dyDescent="0.25">
      <c r="B54" s="1106" t="s">
        <v>3289</v>
      </c>
      <c r="C54" s="1009" t="s">
        <v>3288</v>
      </c>
      <c r="D54" s="1009" t="s">
        <v>100</v>
      </c>
      <c r="E54" s="1001">
        <v>0</v>
      </c>
      <c r="F54" s="1001">
        <v>45</v>
      </c>
      <c r="G54" s="1001">
        <f>SUM(G55)</f>
        <v>7000</v>
      </c>
      <c r="H54" s="1001">
        <v>45</v>
      </c>
      <c r="I54" s="1001">
        <f>SUM(I55)</f>
        <v>7500</v>
      </c>
      <c r="J54" s="1001">
        <v>45</v>
      </c>
      <c r="K54" s="1001">
        <f>SUM(K55)</f>
        <v>8000</v>
      </c>
      <c r="L54" s="1001">
        <v>45</v>
      </c>
      <c r="M54" s="1001">
        <f>SUM(M55)</f>
        <v>8500</v>
      </c>
      <c r="N54" s="1001">
        <v>45</v>
      </c>
      <c r="O54" s="1001">
        <f>SUM(O55)</f>
        <v>9000</v>
      </c>
      <c r="P54" s="1001">
        <v>45</v>
      </c>
      <c r="Q54" s="1001">
        <f>SUM(Q55)</f>
        <v>9500</v>
      </c>
      <c r="R54" s="1001">
        <f>F54+H54+J54+L54+N54</f>
        <v>225</v>
      </c>
      <c r="S54" s="1004"/>
      <c r="T54" s="1004"/>
    </row>
    <row r="55" spans="2:20" s="1003" customFormat="1" ht="76.5" x14ac:dyDescent="0.25">
      <c r="B55" s="998" t="s">
        <v>894</v>
      </c>
      <c r="C55" s="1009" t="s">
        <v>3290</v>
      </c>
      <c r="D55" s="1009" t="s">
        <v>100</v>
      </c>
      <c r="E55" s="1001"/>
      <c r="F55" s="1001">
        <v>45</v>
      </c>
      <c r="G55" s="1001">
        <v>7000</v>
      </c>
      <c r="H55" s="1001">
        <v>45</v>
      </c>
      <c r="I55" s="1001">
        <v>7500</v>
      </c>
      <c r="J55" s="1001">
        <v>45</v>
      </c>
      <c r="K55" s="1001">
        <v>8000</v>
      </c>
      <c r="L55" s="1001">
        <v>45</v>
      </c>
      <c r="M55" s="1001">
        <v>8500</v>
      </c>
      <c r="N55" s="1001">
        <v>45</v>
      </c>
      <c r="O55" s="1001">
        <v>9000</v>
      </c>
      <c r="P55" s="1001">
        <v>45</v>
      </c>
      <c r="Q55" s="1001">
        <v>9500</v>
      </c>
      <c r="R55" s="1001"/>
      <c r="S55" s="1004"/>
      <c r="T55" s="1004"/>
    </row>
    <row r="56" spans="2:20" s="1003" customFormat="1" ht="60" x14ac:dyDescent="0.25">
      <c r="B56" s="1063" t="s">
        <v>3292</v>
      </c>
      <c r="C56" s="1000" t="s">
        <v>3291</v>
      </c>
      <c r="D56" s="1000" t="s">
        <v>103</v>
      </c>
      <c r="E56" s="1001">
        <v>70</v>
      </c>
      <c r="F56" s="1001">
        <f>SUM(F57)</f>
        <v>0</v>
      </c>
      <c r="G56" s="1001">
        <f>SUM(G57)</f>
        <v>0</v>
      </c>
      <c r="H56" s="1001">
        <v>80</v>
      </c>
      <c r="I56" s="1001">
        <f t="shared" ref="I56:Q56" si="2">SUM(I57)</f>
        <v>3000</v>
      </c>
      <c r="J56" s="1001">
        <f t="shared" si="2"/>
        <v>0</v>
      </c>
      <c r="K56" s="1001">
        <f t="shared" si="2"/>
        <v>0</v>
      </c>
      <c r="L56" s="1001">
        <v>85</v>
      </c>
      <c r="M56" s="1001">
        <f t="shared" si="2"/>
        <v>10500</v>
      </c>
      <c r="N56" s="1001">
        <f t="shared" si="2"/>
        <v>0</v>
      </c>
      <c r="O56" s="1001">
        <f t="shared" si="2"/>
        <v>0</v>
      </c>
      <c r="P56" s="1001">
        <f t="shared" si="2"/>
        <v>0</v>
      </c>
      <c r="Q56" s="1001">
        <f t="shared" si="2"/>
        <v>0</v>
      </c>
      <c r="R56" s="1001">
        <f>L56</f>
        <v>85</v>
      </c>
      <c r="S56" s="1004"/>
      <c r="T56" s="1004"/>
    </row>
    <row r="57" spans="2:20" s="1003" customFormat="1" ht="38.25" x14ac:dyDescent="0.25">
      <c r="B57" s="1008" t="s">
        <v>3293</v>
      </c>
      <c r="C57" s="1000" t="s">
        <v>3294</v>
      </c>
      <c r="D57" s="1000" t="s">
        <v>103</v>
      </c>
      <c r="E57" s="1001"/>
      <c r="F57" s="1001">
        <v>0</v>
      </c>
      <c r="G57" s="1001">
        <v>0</v>
      </c>
      <c r="H57" s="1001">
        <v>3</v>
      </c>
      <c r="I57" s="1001">
        <v>3000</v>
      </c>
      <c r="J57" s="1001">
        <v>0</v>
      </c>
      <c r="K57" s="1001">
        <v>0</v>
      </c>
      <c r="L57" s="1001">
        <v>7</v>
      </c>
      <c r="M57" s="1001">
        <f>1500*L57</f>
        <v>10500</v>
      </c>
      <c r="N57" s="1001">
        <v>0</v>
      </c>
      <c r="O57" s="1001">
        <v>0</v>
      </c>
      <c r="P57" s="1001">
        <v>0</v>
      </c>
      <c r="Q57" s="1001">
        <v>0</v>
      </c>
      <c r="R57" s="1001"/>
      <c r="S57" s="1004"/>
      <c r="T57" s="1004"/>
    </row>
    <row r="58" spans="2:20" s="1003" customFormat="1" ht="60" x14ac:dyDescent="0.25">
      <c r="B58" s="1063" t="s">
        <v>3296</v>
      </c>
      <c r="C58" s="1000" t="s">
        <v>3295</v>
      </c>
      <c r="D58" s="1000" t="s">
        <v>327</v>
      </c>
      <c r="E58" s="1001">
        <v>13</v>
      </c>
      <c r="F58" s="1001">
        <v>13</v>
      </c>
      <c r="G58" s="1001">
        <f>SUM(G59)</f>
        <v>5000</v>
      </c>
      <c r="H58" s="1001">
        <v>13</v>
      </c>
      <c r="I58" s="1001">
        <f>SUM(I59)</f>
        <v>7250</v>
      </c>
      <c r="J58" s="1001">
        <v>13</v>
      </c>
      <c r="K58" s="1001">
        <f>SUM(K59)</f>
        <v>7500</v>
      </c>
      <c r="L58" s="1001">
        <v>13</v>
      </c>
      <c r="M58" s="1001">
        <f>SUM(M59)</f>
        <v>9000</v>
      </c>
      <c r="N58" s="1001">
        <v>13</v>
      </c>
      <c r="O58" s="1001">
        <f>SUM(O59)</f>
        <v>10500</v>
      </c>
      <c r="P58" s="1001">
        <v>12</v>
      </c>
      <c r="Q58" s="1001">
        <f>SUM(Q59)</f>
        <v>11000</v>
      </c>
      <c r="R58" s="1001">
        <f>N58</f>
        <v>13</v>
      </c>
      <c r="S58" s="1004"/>
      <c r="T58" s="1004"/>
    </row>
    <row r="59" spans="2:20" s="1003" customFormat="1" x14ac:dyDescent="0.25">
      <c r="B59" s="1008" t="s">
        <v>383</v>
      </c>
      <c r="C59" s="1000" t="s">
        <v>3297</v>
      </c>
      <c r="D59" s="1000"/>
      <c r="E59" s="1001"/>
      <c r="F59" s="1001"/>
      <c r="G59" s="1001">
        <v>5000</v>
      </c>
      <c r="H59" s="1001">
        <v>13</v>
      </c>
      <c r="I59" s="1001">
        <v>7250</v>
      </c>
      <c r="J59" s="1001">
        <v>13</v>
      </c>
      <c r="K59" s="1001">
        <v>7500</v>
      </c>
      <c r="L59" s="1001">
        <v>13</v>
      </c>
      <c r="M59" s="1001">
        <v>9000</v>
      </c>
      <c r="N59" s="1001">
        <v>13</v>
      </c>
      <c r="O59" s="1001">
        <v>10500</v>
      </c>
      <c r="P59" s="1001">
        <v>12</v>
      </c>
      <c r="Q59" s="1001">
        <v>11000</v>
      </c>
      <c r="R59" s="1001"/>
      <c r="S59" s="1004"/>
      <c r="T59" s="1004"/>
    </row>
    <row r="60" spans="2:20" s="1003" customFormat="1" x14ac:dyDescent="0.25">
      <c r="B60" s="1011" t="s">
        <v>2651</v>
      </c>
      <c r="C60" s="1000"/>
      <c r="D60" s="1000"/>
      <c r="E60" s="1000"/>
      <c r="F60" s="1000"/>
      <c r="G60" s="1012">
        <f>G58+G56+G54+G52+G49+G47+G42+G38+G32+G30+G28+G21+G7+G44+G40+G36</f>
        <v>332311</v>
      </c>
      <c r="H60" s="1000"/>
      <c r="I60" s="1012">
        <f>I58+I56+I54+I52+I49+I47+I42+I38+I32+I30+I28+I21+I7+I44+I40+I36</f>
        <v>339499</v>
      </c>
      <c r="J60" s="1000"/>
      <c r="K60" s="1012">
        <f>K58+K56+K54+K52+K49+K47+K42+K38+K32+K30+K28+K21+K7+K44+K40+K36</f>
        <v>372600</v>
      </c>
      <c r="L60" s="1000"/>
      <c r="M60" s="1012">
        <f>M58+M56+M54+M52+M49+M47+M42+M38+M32+M30+M28+M21+M7+M44+M40+M36</f>
        <v>412200</v>
      </c>
      <c r="N60" s="1000"/>
      <c r="O60" s="1012">
        <f>O58+O56+O54+O52+O49+O47+O42+O38+O32+O30+O28+O21+O7+O44+O40+O36</f>
        <v>433000</v>
      </c>
      <c r="P60" s="1000"/>
      <c r="Q60" s="1012">
        <f>Q58+Q56+Q54+Q52+Q49+Q47+Q42+Q38+Q32+Q30+Q28+Q21+Q7+Q44+Q40+Q36</f>
        <v>534000</v>
      </c>
      <c r="R60" s="1000"/>
      <c r="S60" s="1013"/>
      <c r="T60" s="1013"/>
    </row>
    <row r="61" spans="2:20" s="1003" customFormat="1" x14ac:dyDescent="0.25">
      <c r="B61" s="1005"/>
      <c r="C61" s="1100"/>
      <c r="D61" s="1000"/>
      <c r="E61" s="1001"/>
      <c r="F61" s="1001"/>
      <c r="G61" s="1001"/>
      <c r="H61" s="1001"/>
      <c r="I61" s="1001"/>
      <c r="J61" s="1001"/>
      <c r="K61" s="1001"/>
      <c r="L61" s="1001"/>
      <c r="M61" s="1001"/>
      <c r="N61" s="1001"/>
      <c r="O61" s="1001"/>
      <c r="P61" s="1001"/>
      <c r="Q61" s="1001"/>
      <c r="R61" s="1001"/>
      <c r="S61" s="1004"/>
      <c r="T61" s="1004"/>
    </row>
    <row r="62" spans="2:20" s="1003" customFormat="1" ht="24" x14ac:dyDescent="0.25">
      <c r="B62" s="1168" t="s">
        <v>3298</v>
      </c>
      <c r="C62" s="1168"/>
      <c r="D62" s="1168"/>
      <c r="E62" s="1168"/>
      <c r="F62" s="1168"/>
      <c r="G62" s="1169">
        <f>SUM(G63:G80)</f>
        <v>431596</v>
      </c>
      <c r="H62" s="1168"/>
      <c r="I62" s="1169">
        <f>SUM(I63:I80)</f>
        <v>817296</v>
      </c>
      <c r="J62" s="1168"/>
      <c r="K62" s="1169">
        <f>SUM(K63:K80)</f>
        <v>877260.80000000005</v>
      </c>
      <c r="L62" s="1170"/>
      <c r="M62" s="1169">
        <f>SUM(M63:M80)</f>
        <v>950983.8400000002</v>
      </c>
      <c r="N62" s="1170"/>
      <c r="O62" s="1169">
        <f>SUM(O63:O80)</f>
        <v>1017894.0320000001</v>
      </c>
      <c r="P62" s="1170"/>
      <c r="Q62" s="1169">
        <f>SUM(Q63:Q80)</f>
        <v>1090460.8336000002</v>
      </c>
      <c r="R62" s="1170"/>
      <c r="S62" s="1168"/>
      <c r="T62" s="1168"/>
    </row>
    <row r="63" spans="2:20" s="1003" customFormat="1" ht="63.75" x14ac:dyDescent="0.25">
      <c r="B63" s="1171" t="s">
        <v>36</v>
      </c>
      <c r="C63" s="1172" t="s">
        <v>1488</v>
      </c>
      <c r="D63" s="1172" t="s">
        <v>19</v>
      </c>
      <c r="E63" s="1173">
        <v>0</v>
      </c>
      <c r="F63" s="1172">
        <v>20</v>
      </c>
      <c r="G63" s="1173">
        <v>43000</v>
      </c>
      <c r="H63" s="1172">
        <v>20</v>
      </c>
      <c r="I63" s="1174">
        <v>50950</v>
      </c>
      <c r="J63" s="1172">
        <v>20</v>
      </c>
      <c r="K63" s="1175">
        <f>I63*105%</f>
        <v>53497.5</v>
      </c>
      <c r="L63" s="1172">
        <v>20</v>
      </c>
      <c r="M63" s="1175">
        <f>K63*105%</f>
        <v>56172.375</v>
      </c>
      <c r="N63" s="1172">
        <v>20</v>
      </c>
      <c r="O63" s="1175">
        <f>M63*105%</f>
        <v>58980.993750000001</v>
      </c>
      <c r="P63" s="1172">
        <v>20</v>
      </c>
      <c r="Q63" s="1175">
        <f>O63*105%</f>
        <v>61930.043437500004</v>
      </c>
      <c r="R63" s="1172">
        <f t="shared" ref="R63:R79" si="3">H63+J63+L63+N63+P63</f>
        <v>100</v>
      </c>
      <c r="S63" s="1172" t="s">
        <v>3299</v>
      </c>
      <c r="T63" s="1172" t="s">
        <v>3299</v>
      </c>
    </row>
    <row r="64" spans="2:20" s="1003" customFormat="1" ht="60" x14ac:dyDescent="0.25">
      <c r="B64" s="1171" t="s">
        <v>65</v>
      </c>
      <c r="C64" s="1172" t="s">
        <v>3234</v>
      </c>
      <c r="D64" s="1172" t="s">
        <v>19</v>
      </c>
      <c r="E64" s="1173">
        <v>0</v>
      </c>
      <c r="F64" s="1172">
        <v>20</v>
      </c>
      <c r="G64" s="2116">
        <v>58596</v>
      </c>
      <c r="H64" s="1172">
        <v>20</v>
      </c>
      <c r="I64" s="2116">
        <v>50000</v>
      </c>
      <c r="J64" s="1172">
        <v>20</v>
      </c>
      <c r="K64" s="2119">
        <f>105%*I64</f>
        <v>52500</v>
      </c>
      <c r="L64" s="1172">
        <v>20</v>
      </c>
      <c r="M64" s="2119">
        <f>105%*K64</f>
        <v>55125</v>
      </c>
      <c r="N64" s="1172">
        <v>20</v>
      </c>
      <c r="O64" s="2119">
        <f>105%*M64</f>
        <v>57881.25</v>
      </c>
      <c r="P64" s="1172">
        <v>20</v>
      </c>
      <c r="Q64" s="2119">
        <f>105%*O64</f>
        <v>60775.3125</v>
      </c>
      <c r="R64" s="1172">
        <f t="shared" si="3"/>
        <v>100</v>
      </c>
      <c r="S64" s="1172" t="s">
        <v>3299</v>
      </c>
      <c r="T64" s="1172" t="s">
        <v>3299</v>
      </c>
    </row>
    <row r="65" spans="2:20" s="1003" customFormat="1" ht="38.25" x14ac:dyDescent="0.25">
      <c r="B65" s="1172"/>
      <c r="C65" s="1172" t="s">
        <v>3235</v>
      </c>
      <c r="D65" s="1172" t="s">
        <v>19</v>
      </c>
      <c r="E65" s="1173">
        <v>0</v>
      </c>
      <c r="F65" s="1172">
        <v>20</v>
      </c>
      <c r="G65" s="2118"/>
      <c r="H65" s="1172">
        <v>20</v>
      </c>
      <c r="I65" s="2118"/>
      <c r="J65" s="1172">
        <v>20</v>
      </c>
      <c r="K65" s="2120"/>
      <c r="L65" s="1172">
        <v>20</v>
      </c>
      <c r="M65" s="2120"/>
      <c r="N65" s="1172">
        <v>20</v>
      </c>
      <c r="O65" s="2120"/>
      <c r="P65" s="1172">
        <v>20</v>
      </c>
      <c r="Q65" s="2120"/>
      <c r="R65" s="1172">
        <f t="shared" si="3"/>
        <v>100</v>
      </c>
      <c r="S65" s="1172" t="s">
        <v>3299</v>
      </c>
      <c r="T65" s="1172" t="s">
        <v>3299</v>
      </c>
    </row>
    <row r="66" spans="2:20" s="1003" customFormat="1" ht="51" x14ac:dyDescent="0.25">
      <c r="B66" s="1171" t="s">
        <v>1180</v>
      </c>
      <c r="C66" s="1172" t="s">
        <v>3300</v>
      </c>
      <c r="D66" s="1172" t="s">
        <v>75</v>
      </c>
      <c r="E66" s="1173">
        <v>0</v>
      </c>
      <c r="F66" s="1173">
        <v>0</v>
      </c>
      <c r="G66" s="1173">
        <v>0</v>
      </c>
      <c r="H66" s="1172">
        <v>1</v>
      </c>
      <c r="I66" s="1174">
        <v>117000</v>
      </c>
      <c r="J66" s="1172">
        <v>0</v>
      </c>
      <c r="K66" s="1175">
        <f>105%*I66</f>
        <v>122850</v>
      </c>
      <c r="L66" s="1172">
        <v>0</v>
      </c>
      <c r="M66" s="1175">
        <f>105%*K66</f>
        <v>128992.5</v>
      </c>
      <c r="N66" s="1172">
        <v>0</v>
      </c>
      <c r="O66" s="1175">
        <f>105%*M66</f>
        <v>135442.125</v>
      </c>
      <c r="P66" s="1172">
        <v>0</v>
      </c>
      <c r="Q66" s="1175">
        <f>105%*O66</f>
        <v>142214.23125000001</v>
      </c>
      <c r="R66" s="1172">
        <f t="shared" si="3"/>
        <v>1</v>
      </c>
      <c r="S66" s="1172" t="s">
        <v>3299</v>
      </c>
      <c r="T66" s="1172" t="s">
        <v>3299</v>
      </c>
    </row>
    <row r="67" spans="2:20" s="1003" customFormat="1" ht="38.25" x14ac:dyDescent="0.25">
      <c r="B67" s="1172"/>
      <c r="C67" s="1172" t="s">
        <v>3301</v>
      </c>
      <c r="D67" s="1172" t="s">
        <v>324</v>
      </c>
      <c r="E67" s="1173">
        <v>0</v>
      </c>
      <c r="F67" s="1173">
        <v>0</v>
      </c>
      <c r="G67" s="1173">
        <v>0</v>
      </c>
      <c r="H67" s="1172">
        <v>3</v>
      </c>
      <c r="I67" s="1174"/>
      <c r="J67" s="1172">
        <v>3</v>
      </c>
      <c r="K67" s="1175">
        <f>105%*I67</f>
        <v>0</v>
      </c>
      <c r="L67" s="1172">
        <v>3</v>
      </c>
      <c r="M67" s="1175"/>
      <c r="N67" s="1172">
        <v>3</v>
      </c>
      <c r="O67" s="1175"/>
      <c r="P67" s="1172">
        <v>3</v>
      </c>
      <c r="Q67" s="1175"/>
      <c r="R67" s="1172">
        <f t="shared" si="3"/>
        <v>15</v>
      </c>
      <c r="S67" s="1172" t="s">
        <v>3299</v>
      </c>
      <c r="T67" s="1172" t="s">
        <v>3299</v>
      </c>
    </row>
    <row r="68" spans="2:20" s="1003" customFormat="1" ht="38.25" x14ac:dyDescent="0.25">
      <c r="B68" s="1171" t="s">
        <v>3302</v>
      </c>
      <c r="C68" s="1172" t="s">
        <v>3303</v>
      </c>
      <c r="D68" s="1172" t="s">
        <v>324</v>
      </c>
      <c r="E68" s="1173">
        <v>0</v>
      </c>
      <c r="F68" s="1172">
        <v>0</v>
      </c>
      <c r="G68" s="1173">
        <v>0</v>
      </c>
      <c r="H68" s="1172">
        <v>12</v>
      </c>
      <c r="I68" s="1174">
        <v>36000</v>
      </c>
      <c r="J68" s="1172">
        <v>12</v>
      </c>
      <c r="K68" s="1175">
        <f>105%*I68</f>
        <v>37800</v>
      </c>
      <c r="L68" s="1172">
        <v>12</v>
      </c>
      <c r="M68" s="1175">
        <f>105%*K68</f>
        <v>39690</v>
      </c>
      <c r="N68" s="1172">
        <v>12</v>
      </c>
      <c r="O68" s="1175">
        <f>105%*M68</f>
        <v>41674.5</v>
      </c>
      <c r="P68" s="1172">
        <v>12</v>
      </c>
      <c r="Q68" s="1175">
        <f>105%*O68</f>
        <v>43758.224999999999</v>
      </c>
      <c r="R68" s="1172">
        <f t="shared" si="3"/>
        <v>60</v>
      </c>
      <c r="S68" s="1172" t="s">
        <v>3299</v>
      </c>
      <c r="T68" s="1172" t="s">
        <v>3299</v>
      </c>
    </row>
    <row r="69" spans="2:20" s="1003" customFormat="1" ht="51" x14ac:dyDescent="0.25">
      <c r="B69" s="1171" t="s">
        <v>1548</v>
      </c>
      <c r="C69" s="1172" t="s">
        <v>3304</v>
      </c>
      <c r="D69" s="1172" t="s">
        <v>324</v>
      </c>
      <c r="E69" s="1173">
        <v>0</v>
      </c>
      <c r="F69" s="1172">
        <v>6</v>
      </c>
      <c r="G69" s="1173">
        <v>300000</v>
      </c>
      <c r="H69" s="1172">
        <v>6</v>
      </c>
      <c r="I69" s="1174">
        <v>382000</v>
      </c>
      <c r="J69" s="1172">
        <v>6</v>
      </c>
      <c r="K69" s="1175">
        <f>110%*I69</f>
        <v>420200.00000000006</v>
      </c>
      <c r="L69" s="1172">
        <v>6</v>
      </c>
      <c r="M69" s="1175">
        <f>110%*K69</f>
        <v>462220.00000000012</v>
      </c>
      <c r="N69" s="1172">
        <v>6</v>
      </c>
      <c r="O69" s="1175">
        <f>110%*M69</f>
        <v>508442.00000000017</v>
      </c>
      <c r="P69" s="1172">
        <v>6</v>
      </c>
      <c r="Q69" s="1175">
        <f>110%*O69</f>
        <v>559286.20000000019</v>
      </c>
      <c r="R69" s="1172">
        <f t="shared" si="3"/>
        <v>30</v>
      </c>
      <c r="S69" s="1172" t="s">
        <v>3299</v>
      </c>
      <c r="T69" s="1172" t="s">
        <v>3299</v>
      </c>
    </row>
    <row r="70" spans="2:20" s="1003" customFormat="1" ht="63.75" x14ac:dyDescent="0.25">
      <c r="B70" s="1171" t="s">
        <v>1690</v>
      </c>
      <c r="C70" s="1172" t="s">
        <v>3305</v>
      </c>
      <c r="D70" s="1172" t="s">
        <v>251</v>
      </c>
      <c r="E70" s="1173">
        <v>0</v>
      </c>
      <c r="F70" s="1173">
        <v>0</v>
      </c>
      <c r="G70" s="1173">
        <v>0</v>
      </c>
      <c r="H70" s="1172">
        <v>4</v>
      </c>
      <c r="I70" s="1174">
        <v>60000</v>
      </c>
      <c r="J70" s="1172">
        <v>4</v>
      </c>
      <c r="K70" s="1175">
        <f t="shared" ref="K70:K79" si="4">105%*I70</f>
        <v>63000</v>
      </c>
      <c r="L70" s="1172">
        <v>5</v>
      </c>
      <c r="M70" s="1175">
        <v>75000</v>
      </c>
      <c r="N70" s="1172">
        <v>5</v>
      </c>
      <c r="O70" s="1175">
        <v>75000</v>
      </c>
      <c r="P70" s="1172">
        <v>5</v>
      </c>
      <c r="Q70" s="1175">
        <v>75000</v>
      </c>
      <c r="R70" s="1172">
        <f t="shared" si="3"/>
        <v>23</v>
      </c>
      <c r="S70" s="1172" t="s">
        <v>3299</v>
      </c>
      <c r="T70" s="1172" t="s">
        <v>3299</v>
      </c>
    </row>
    <row r="71" spans="2:20" s="1003" customFormat="1" ht="36" x14ac:dyDescent="0.25">
      <c r="B71" s="1171" t="s">
        <v>77</v>
      </c>
      <c r="C71" s="1172" t="s">
        <v>3306</v>
      </c>
      <c r="D71" s="1172" t="s">
        <v>257</v>
      </c>
      <c r="E71" s="1173">
        <v>0</v>
      </c>
      <c r="F71" s="1172">
        <v>3</v>
      </c>
      <c r="G71" s="1173">
        <v>0</v>
      </c>
      <c r="H71" s="1172">
        <v>3</v>
      </c>
      <c r="I71" s="1174">
        <v>2626</v>
      </c>
      <c r="J71" s="1172">
        <v>3</v>
      </c>
      <c r="K71" s="1175">
        <f t="shared" si="4"/>
        <v>2757.3</v>
      </c>
      <c r="L71" s="1172">
        <v>3</v>
      </c>
      <c r="M71" s="1175">
        <f>105%*K71</f>
        <v>2895.1650000000004</v>
      </c>
      <c r="N71" s="1172">
        <v>3</v>
      </c>
      <c r="O71" s="1175">
        <f>105%*M71</f>
        <v>3039.9232500000007</v>
      </c>
      <c r="P71" s="1172">
        <v>3</v>
      </c>
      <c r="Q71" s="1175">
        <f>105%*O71</f>
        <v>3191.9194125000008</v>
      </c>
      <c r="R71" s="1172">
        <f t="shared" si="3"/>
        <v>15</v>
      </c>
      <c r="S71" s="1172" t="s">
        <v>3299</v>
      </c>
      <c r="T71" s="1172" t="s">
        <v>3299</v>
      </c>
    </row>
    <row r="72" spans="2:20" s="1003" customFormat="1" ht="51" x14ac:dyDescent="0.25">
      <c r="B72" s="1171" t="s">
        <v>3307</v>
      </c>
      <c r="C72" s="1172" t="s">
        <v>3308</v>
      </c>
      <c r="D72" s="1172" t="s">
        <v>427</v>
      </c>
      <c r="E72" s="1173">
        <v>0</v>
      </c>
      <c r="F72" s="1172">
        <v>65</v>
      </c>
      <c r="G72" s="1173">
        <v>6000</v>
      </c>
      <c r="H72" s="1172">
        <v>65</v>
      </c>
      <c r="I72" s="1174">
        <v>6000</v>
      </c>
      <c r="J72" s="1172">
        <v>65</v>
      </c>
      <c r="K72" s="1175">
        <f t="shared" si="4"/>
        <v>6300</v>
      </c>
      <c r="L72" s="1172">
        <v>65</v>
      </c>
      <c r="M72" s="1175">
        <f>105%*K72</f>
        <v>6615</v>
      </c>
      <c r="N72" s="1172">
        <v>65</v>
      </c>
      <c r="O72" s="1175">
        <f>105%*M72</f>
        <v>6945.75</v>
      </c>
      <c r="P72" s="1172">
        <v>65</v>
      </c>
      <c r="Q72" s="1175">
        <f>105%*O72</f>
        <v>7293.0375000000004</v>
      </c>
      <c r="R72" s="1172">
        <f t="shared" si="3"/>
        <v>325</v>
      </c>
      <c r="S72" s="1172" t="s">
        <v>3299</v>
      </c>
      <c r="T72" s="1172" t="s">
        <v>3299</v>
      </c>
    </row>
    <row r="73" spans="2:20" s="1003" customFormat="1" ht="60" x14ac:dyDescent="0.25">
      <c r="B73" s="1171" t="s">
        <v>763</v>
      </c>
      <c r="C73" s="1172" t="s">
        <v>3309</v>
      </c>
      <c r="D73" s="1172" t="s">
        <v>1158</v>
      </c>
      <c r="E73" s="1173">
        <v>0</v>
      </c>
      <c r="F73" s="1172">
        <v>12</v>
      </c>
      <c r="G73" s="1173">
        <v>5000</v>
      </c>
      <c r="H73" s="1172">
        <v>12</v>
      </c>
      <c r="I73" s="1174">
        <v>32720</v>
      </c>
      <c r="J73" s="1172">
        <v>12</v>
      </c>
      <c r="K73" s="1175">
        <f t="shared" si="4"/>
        <v>34356</v>
      </c>
      <c r="L73" s="1172">
        <v>12</v>
      </c>
      <c r="M73" s="1175">
        <f>105%*K73</f>
        <v>36073.800000000003</v>
      </c>
      <c r="N73" s="1172">
        <v>12</v>
      </c>
      <c r="O73" s="1175">
        <f>105%*M73</f>
        <v>37877.490000000005</v>
      </c>
      <c r="P73" s="1172">
        <v>12</v>
      </c>
      <c r="Q73" s="1175">
        <f>105%*O73</f>
        <v>39771.364500000011</v>
      </c>
      <c r="R73" s="1172">
        <f t="shared" si="3"/>
        <v>60</v>
      </c>
      <c r="S73" s="1172" t="s">
        <v>3299</v>
      </c>
      <c r="T73" s="1172" t="s">
        <v>3299</v>
      </c>
    </row>
    <row r="74" spans="2:20" s="1003" customFormat="1" ht="38.25" x14ac:dyDescent="0.25">
      <c r="B74" s="1172"/>
      <c r="C74" s="1172" t="s">
        <v>3310</v>
      </c>
      <c r="D74" s="1172" t="s">
        <v>3311</v>
      </c>
      <c r="E74" s="1173">
        <v>0</v>
      </c>
      <c r="F74" s="1173">
        <v>0</v>
      </c>
      <c r="G74" s="1173">
        <f>95%*I74</f>
        <v>0</v>
      </c>
      <c r="H74" s="1172">
        <v>12</v>
      </c>
      <c r="I74" s="1174"/>
      <c r="J74" s="1172">
        <v>12</v>
      </c>
      <c r="K74" s="1175">
        <f t="shared" si="4"/>
        <v>0</v>
      </c>
      <c r="L74" s="1172">
        <v>12</v>
      </c>
      <c r="M74" s="1175"/>
      <c r="N74" s="1172">
        <v>12</v>
      </c>
      <c r="O74" s="1175"/>
      <c r="P74" s="1172">
        <v>12</v>
      </c>
      <c r="Q74" s="1175"/>
      <c r="R74" s="1172">
        <f t="shared" si="3"/>
        <v>60</v>
      </c>
      <c r="S74" s="1172" t="s">
        <v>3299</v>
      </c>
      <c r="T74" s="1172" t="s">
        <v>3299</v>
      </c>
    </row>
    <row r="75" spans="2:20" s="1003" customFormat="1" ht="48" x14ac:dyDescent="0.25">
      <c r="B75" s="1171" t="s">
        <v>3312</v>
      </c>
      <c r="C75" s="1172" t="s">
        <v>3313</v>
      </c>
      <c r="D75" s="1172" t="s">
        <v>3311</v>
      </c>
      <c r="E75" s="1173">
        <v>0</v>
      </c>
      <c r="F75" s="1173">
        <v>0</v>
      </c>
      <c r="G75" s="1173">
        <v>0</v>
      </c>
      <c r="H75" s="1172">
        <v>12</v>
      </c>
      <c r="I75" s="1174">
        <v>5000</v>
      </c>
      <c r="J75" s="1172">
        <v>12</v>
      </c>
      <c r="K75" s="1175">
        <f t="shared" si="4"/>
        <v>5250</v>
      </c>
      <c r="L75" s="1172">
        <v>12</v>
      </c>
      <c r="M75" s="1175">
        <f>105%*K75</f>
        <v>5512.5</v>
      </c>
      <c r="N75" s="1172">
        <v>12</v>
      </c>
      <c r="O75" s="1175">
        <f>105%*M75</f>
        <v>5788.125</v>
      </c>
      <c r="P75" s="1172">
        <v>12</v>
      </c>
      <c r="Q75" s="1175">
        <f>105%*O75</f>
        <v>6077.53125</v>
      </c>
      <c r="R75" s="1172">
        <f t="shared" si="3"/>
        <v>60</v>
      </c>
      <c r="S75" s="1172" t="s">
        <v>3299</v>
      </c>
      <c r="T75" s="1172" t="s">
        <v>3299</v>
      </c>
    </row>
    <row r="76" spans="2:20" s="1003" customFormat="1" ht="114.75" x14ac:dyDescent="0.25">
      <c r="B76" s="1171" t="s">
        <v>424</v>
      </c>
      <c r="C76" s="1172" t="s">
        <v>3314</v>
      </c>
      <c r="D76" s="1172" t="s">
        <v>427</v>
      </c>
      <c r="E76" s="1173">
        <v>0</v>
      </c>
      <c r="F76" s="1172">
        <v>50</v>
      </c>
      <c r="G76" s="1173">
        <v>5000</v>
      </c>
      <c r="H76" s="1172">
        <v>50</v>
      </c>
      <c r="I76" s="1174">
        <v>15000</v>
      </c>
      <c r="J76" s="1172">
        <v>50</v>
      </c>
      <c r="K76" s="1175">
        <f t="shared" si="4"/>
        <v>15750</v>
      </c>
      <c r="L76" s="1172">
        <v>50</v>
      </c>
      <c r="M76" s="1175">
        <f>105%*K76</f>
        <v>16537.5</v>
      </c>
      <c r="N76" s="1172">
        <v>50</v>
      </c>
      <c r="O76" s="1175">
        <f>105%*M76</f>
        <v>17364.375</v>
      </c>
      <c r="P76" s="1172">
        <v>50</v>
      </c>
      <c r="Q76" s="1175">
        <f>105%*O76</f>
        <v>18232.59375</v>
      </c>
      <c r="R76" s="1172">
        <f t="shared" si="3"/>
        <v>250</v>
      </c>
      <c r="S76" s="1172" t="s">
        <v>3299</v>
      </c>
      <c r="T76" s="1172" t="s">
        <v>3299</v>
      </c>
    </row>
    <row r="77" spans="2:20" s="1003" customFormat="1" ht="60" x14ac:dyDescent="0.25">
      <c r="B77" s="1171" t="s">
        <v>1845</v>
      </c>
      <c r="C77" s="1172" t="s">
        <v>3315</v>
      </c>
      <c r="D77" s="1172" t="s">
        <v>303</v>
      </c>
      <c r="E77" s="1173">
        <v>0</v>
      </c>
      <c r="F77" s="1173">
        <v>0</v>
      </c>
      <c r="G77" s="1173">
        <v>0</v>
      </c>
      <c r="H77" s="1172">
        <v>6</v>
      </c>
      <c r="I77" s="1174">
        <v>42000</v>
      </c>
      <c r="J77" s="1172">
        <v>6</v>
      </c>
      <c r="K77" s="1175">
        <f t="shared" si="4"/>
        <v>44100</v>
      </c>
      <c r="L77" s="1172">
        <v>6</v>
      </c>
      <c r="M77" s="1175">
        <f>105%*K77</f>
        <v>46305</v>
      </c>
      <c r="N77" s="1172">
        <v>6</v>
      </c>
      <c r="O77" s="1175">
        <f>105%*M77</f>
        <v>48620.25</v>
      </c>
      <c r="P77" s="1172">
        <v>6</v>
      </c>
      <c r="Q77" s="1175">
        <f>105%*O77</f>
        <v>51051.262500000004</v>
      </c>
      <c r="R77" s="1172">
        <f t="shared" si="3"/>
        <v>30</v>
      </c>
      <c r="S77" s="1172" t="s">
        <v>3299</v>
      </c>
      <c r="T77" s="1172" t="s">
        <v>3299</v>
      </c>
    </row>
    <row r="78" spans="2:20" s="1003" customFormat="1" ht="72" x14ac:dyDescent="0.25">
      <c r="B78" s="1171" t="s">
        <v>1716</v>
      </c>
      <c r="C78" s="1172" t="s">
        <v>3316</v>
      </c>
      <c r="D78" s="1172" t="s">
        <v>427</v>
      </c>
      <c r="E78" s="1173">
        <v>0</v>
      </c>
      <c r="F78" s="1172">
        <v>60</v>
      </c>
      <c r="G78" s="1173">
        <v>6000</v>
      </c>
      <c r="H78" s="1172">
        <v>60</v>
      </c>
      <c r="I78" s="1174">
        <v>6000</v>
      </c>
      <c r="J78" s="1172">
        <v>60</v>
      </c>
      <c r="K78" s="1175">
        <f t="shared" si="4"/>
        <v>6300</v>
      </c>
      <c r="L78" s="1172">
        <v>60</v>
      </c>
      <c r="M78" s="1175">
        <f>105%*K78</f>
        <v>6615</v>
      </c>
      <c r="N78" s="1172">
        <v>60</v>
      </c>
      <c r="O78" s="1175">
        <f>105%*M78</f>
        <v>6945.75</v>
      </c>
      <c r="P78" s="1172">
        <v>60</v>
      </c>
      <c r="Q78" s="1175">
        <f>105%*O78</f>
        <v>7293.0375000000004</v>
      </c>
      <c r="R78" s="1172">
        <f t="shared" si="3"/>
        <v>300</v>
      </c>
      <c r="S78" s="1172" t="s">
        <v>3299</v>
      </c>
      <c r="T78" s="1172" t="s">
        <v>3299</v>
      </c>
    </row>
    <row r="79" spans="2:20" s="1003" customFormat="1" ht="60" x14ac:dyDescent="0.25">
      <c r="B79" s="1176" t="s">
        <v>1786</v>
      </c>
      <c r="C79" s="1177" t="s">
        <v>3317</v>
      </c>
      <c r="D79" s="1177" t="s">
        <v>3311</v>
      </c>
      <c r="E79" s="1173">
        <v>0</v>
      </c>
      <c r="F79" s="1177">
        <v>12</v>
      </c>
      <c r="G79" s="1173">
        <v>8000</v>
      </c>
      <c r="H79" s="1177">
        <v>12</v>
      </c>
      <c r="I79" s="1178">
        <v>12000</v>
      </c>
      <c r="J79" s="1177">
        <v>12</v>
      </c>
      <c r="K79" s="1175">
        <f t="shared" si="4"/>
        <v>12600</v>
      </c>
      <c r="L79" s="1177">
        <v>12</v>
      </c>
      <c r="M79" s="1175">
        <f>105%*K79</f>
        <v>13230</v>
      </c>
      <c r="N79" s="1177">
        <v>12</v>
      </c>
      <c r="O79" s="1175">
        <f>105%*M79</f>
        <v>13891.5</v>
      </c>
      <c r="P79" s="1177">
        <v>12</v>
      </c>
      <c r="Q79" s="1175">
        <f>105%*O79</f>
        <v>14586.075000000001</v>
      </c>
      <c r="R79" s="1172">
        <f t="shared" si="3"/>
        <v>60</v>
      </c>
      <c r="S79" s="1172" t="s">
        <v>3299</v>
      </c>
      <c r="T79" s="1172" t="s">
        <v>3299</v>
      </c>
    </row>
    <row r="80" spans="2:20" s="1003" customFormat="1" x14ac:dyDescent="0.25">
      <c r="B80" s="1179"/>
      <c r="C80" s="1179"/>
      <c r="D80" s="1179"/>
      <c r="E80" s="1179"/>
      <c r="F80" s="1179"/>
      <c r="G80" s="1179"/>
      <c r="H80" s="1179"/>
      <c r="I80" s="1180"/>
      <c r="J80" s="1179"/>
      <c r="K80" s="1181"/>
      <c r="L80" s="1181"/>
      <c r="M80" s="1181"/>
      <c r="N80" s="1181"/>
      <c r="O80" s="1181"/>
      <c r="P80" s="1181"/>
      <c r="Q80" s="1181"/>
      <c r="R80" s="1181"/>
      <c r="S80" s="1179"/>
      <c r="T80" s="1179"/>
    </row>
    <row r="81" spans="2:20" s="1003" customFormat="1" ht="24" x14ac:dyDescent="0.25">
      <c r="B81" s="1168" t="s">
        <v>3318</v>
      </c>
      <c r="C81" s="1168"/>
      <c r="D81" s="1168"/>
      <c r="E81" s="1168"/>
      <c r="F81" s="1168"/>
      <c r="G81" s="1169">
        <f>SUM(G82:G98)</f>
        <v>401273</v>
      </c>
      <c r="H81" s="1168"/>
      <c r="I81" s="1169">
        <f>SUM(I82:I98)</f>
        <v>674035</v>
      </c>
      <c r="J81" s="1168"/>
      <c r="K81" s="1169">
        <f>SUM(K82:K98)</f>
        <v>843550</v>
      </c>
      <c r="L81" s="1170"/>
      <c r="M81" s="1169">
        <f>SUM(M82:M98)</f>
        <v>903727.5</v>
      </c>
      <c r="N81" s="1170"/>
      <c r="O81" s="1169">
        <f>SUM(O82:O98)</f>
        <v>968713.87500000012</v>
      </c>
      <c r="P81" s="1170"/>
      <c r="Q81" s="1169">
        <f>SUM(Q82:Q98)</f>
        <v>1038929.5687500002</v>
      </c>
      <c r="R81" s="1170"/>
      <c r="S81" s="1168"/>
      <c r="T81" s="1168"/>
    </row>
    <row r="82" spans="2:20" s="1003" customFormat="1" ht="63.75" x14ac:dyDescent="0.25">
      <c r="B82" s="1171" t="s">
        <v>36</v>
      </c>
      <c r="C82" s="1172" t="s">
        <v>1488</v>
      </c>
      <c r="D82" s="1172" t="s">
        <v>19</v>
      </c>
      <c r="E82" s="1173">
        <v>0</v>
      </c>
      <c r="F82" s="1172">
        <v>20</v>
      </c>
      <c r="G82" s="1173">
        <v>48273</v>
      </c>
      <c r="H82" s="1172">
        <v>20</v>
      </c>
      <c r="I82" s="1174">
        <v>62500</v>
      </c>
      <c r="J82" s="1172">
        <v>20</v>
      </c>
      <c r="K82" s="1175">
        <v>64550</v>
      </c>
      <c r="L82" s="1172">
        <v>20</v>
      </c>
      <c r="M82" s="1175">
        <f>105%*K82</f>
        <v>67777.5</v>
      </c>
      <c r="N82" s="1172">
        <v>20</v>
      </c>
      <c r="O82" s="1175">
        <f>105%*M82</f>
        <v>71166.375</v>
      </c>
      <c r="P82" s="1172">
        <v>20</v>
      </c>
      <c r="Q82" s="1175">
        <f>105%*O82</f>
        <v>74724.693750000006</v>
      </c>
      <c r="R82" s="1172">
        <f t="shared" ref="R82:R97" si="5">H82+J82+L82+N82+P82</f>
        <v>100</v>
      </c>
      <c r="S82" s="1172" t="s">
        <v>3319</v>
      </c>
      <c r="T82" s="1172" t="s">
        <v>3319</v>
      </c>
    </row>
    <row r="83" spans="2:20" s="1003" customFormat="1" ht="60" x14ac:dyDescent="0.25">
      <c r="B83" s="1171" t="s">
        <v>65</v>
      </c>
      <c r="C83" s="1172" t="s">
        <v>3234</v>
      </c>
      <c r="D83" s="1172" t="s">
        <v>19</v>
      </c>
      <c r="E83" s="1173">
        <v>0</v>
      </c>
      <c r="F83" s="1172">
        <v>20</v>
      </c>
      <c r="G83" s="1178">
        <v>28500</v>
      </c>
      <c r="H83" s="1172">
        <v>20</v>
      </c>
      <c r="I83" s="1178">
        <v>52623</v>
      </c>
      <c r="J83" s="1172">
        <v>20</v>
      </c>
      <c r="K83" s="1190">
        <v>59600</v>
      </c>
      <c r="L83" s="1172">
        <v>20</v>
      </c>
      <c r="M83" s="1190">
        <f>105%*K83</f>
        <v>62580</v>
      </c>
      <c r="N83" s="1172">
        <v>20</v>
      </c>
      <c r="O83" s="1190">
        <f>105%*M83</f>
        <v>65709</v>
      </c>
      <c r="P83" s="1172">
        <v>20</v>
      </c>
      <c r="Q83" s="1190">
        <f>105%*O83</f>
        <v>68994.45</v>
      </c>
      <c r="R83" s="1172">
        <f t="shared" si="5"/>
        <v>100</v>
      </c>
      <c r="S83" s="1172" t="s">
        <v>3319</v>
      </c>
      <c r="T83" s="1172" t="s">
        <v>3319</v>
      </c>
    </row>
    <row r="84" spans="2:20" s="1003" customFormat="1" ht="38.25" x14ac:dyDescent="0.25">
      <c r="B84" s="1172"/>
      <c r="C84" s="1172" t="s">
        <v>3235</v>
      </c>
      <c r="D84" s="1172" t="s">
        <v>19</v>
      </c>
      <c r="E84" s="1173">
        <v>0</v>
      </c>
      <c r="F84" s="1172">
        <v>20</v>
      </c>
      <c r="G84" s="1191">
        <f>95%*I84</f>
        <v>0</v>
      </c>
      <c r="H84" s="1172">
        <v>20</v>
      </c>
      <c r="I84" s="1191"/>
      <c r="J84" s="1172">
        <v>20</v>
      </c>
      <c r="K84" s="1192"/>
      <c r="L84" s="1172">
        <v>20</v>
      </c>
      <c r="M84" s="1192"/>
      <c r="N84" s="1172">
        <v>20</v>
      </c>
      <c r="O84" s="1192"/>
      <c r="P84" s="1172">
        <v>20</v>
      </c>
      <c r="Q84" s="1192"/>
      <c r="R84" s="1172">
        <f t="shared" si="5"/>
        <v>100</v>
      </c>
      <c r="S84" s="1172" t="s">
        <v>3319</v>
      </c>
      <c r="T84" s="1172" t="s">
        <v>3319</v>
      </c>
    </row>
    <row r="85" spans="2:20" s="1003" customFormat="1" ht="63.75" x14ac:dyDescent="0.25">
      <c r="B85" s="1171"/>
      <c r="C85" s="1172" t="s">
        <v>3320</v>
      </c>
      <c r="D85" s="1172" t="s">
        <v>427</v>
      </c>
      <c r="E85" s="1173">
        <v>0</v>
      </c>
      <c r="F85" s="1173">
        <v>0</v>
      </c>
      <c r="G85" s="1173">
        <v>0</v>
      </c>
      <c r="H85" s="1172">
        <v>20</v>
      </c>
      <c r="I85" s="1174"/>
      <c r="J85" s="1172">
        <v>20</v>
      </c>
      <c r="K85" s="1175"/>
      <c r="L85" s="1173">
        <v>0</v>
      </c>
      <c r="M85" s="1173">
        <v>0</v>
      </c>
      <c r="N85" s="1173">
        <v>0</v>
      </c>
      <c r="O85" s="1173">
        <v>0</v>
      </c>
      <c r="P85" s="1173">
        <v>0</v>
      </c>
      <c r="Q85" s="1173">
        <v>0</v>
      </c>
      <c r="R85" s="1172">
        <f t="shared" si="5"/>
        <v>40</v>
      </c>
      <c r="S85" s="1172" t="s">
        <v>3319</v>
      </c>
      <c r="T85" s="1172" t="s">
        <v>3319</v>
      </c>
    </row>
    <row r="86" spans="2:20" s="1003" customFormat="1" ht="51" x14ac:dyDescent="0.25">
      <c r="B86" s="1171" t="s">
        <v>1180</v>
      </c>
      <c r="C86" s="1172" t="s">
        <v>3321</v>
      </c>
      <c r="D86" s="1172" t="s">
        <v>1158</v>
      </c>
      <c r="E86" s="1173">
        <v>0</v>
      </c>
      <c r="F86" s="1173">
        <v>0</v>
      </c>
      <c r="G86" s="1173">
        <v>0</v>
      </c>
      <c r="H86" s="1172">
        <v>12</v>
      </c>
      <c r="I86" s="1174">
        <v>25000</v>
      </c>
      <c r="J86" s="1172">
        <v>12</v>
      </c>
      <c r="K86" s="1175">
        <v>30000</v>
      </c>
      <c r="L86" s="1172">
        <v>12</v>
      </c>
      <c r="M86" s="1175">
        <f>105%*K86</f>
        <v>31500</v>
      </c>
      <c r="N86" s="1172">
        <v>12</v>
      </c>
      <c r="O86" s="1175">
        <f>105%*M86</f>
        <v>33075</v>
      </c>
      <c r="P86" s="1172">
        <v>12</v>
      </c>
      <c r="Q86" s="1175">
        <f>105%*O86</f>
        <v>34728.75</v>
      </c>
      <c r="R86" s="1172">
        <f t="shared" si="5"/>
        <v>60</v>
      </c>
      <c r="S86" s="1172" t="s">
        <v>3319</v>
      </c>
      <c r="T86" s="1172" t="s">
        <v>3319</v>
      </c>
    </row>
    <row r="87" spans="2:20" s="1003" customFormat="1" ht="51" x14ac:dyDescent="0.25">
      <c r="B87" s="1165" t="s">
        <v>3302</v>
      </c>
      <c r="C87" s="1172" t="s">
        <v>3322</v>
      </c>
      <c r="D87" s="1172" t="s">
        <v>69</v>
      </c>
      <c r="E87" s="1173">
        <v>0</v>
      </c>
      <c r="F87" s="1173">
        <v>0</v>
      </c>
      <c r="G87" s="1173">
        <v>0</v>
      </c>
      <c r="H87" s="1172">
        <v>10</v>
      </c>
      <c r="I87" s="1174">
        <v>7500</v>
      </c>
      <c r="J87" s="1172">
        <v>10</v>
      </c>
      <c r="K87" s="1175">
        <v>7500</v>
      </c>
      <c r="L87" s="1172">
        <v>10</v>
      </c>
      <c r="M87" s="1175">
        <f>105%*K87</f>
        <v>7875</v>
      </c>
      <c r="N87" s="1172">
        <v>10</v>
      </c>
      <c r="O87" s="1175">
        <f>105%*M87</f>
        <v>8268.75</v>
      </c>
      <c r="P87" s="1172">
        <v>10</v>
      </c>
      <c r="Q87" s="1175">
        <f>105%*O87</f>
        <v>8682.1875</v>
      </c>
      <c r="R87" s="1172">
        <f t="shared" si="5"/>
        <v>50</v>
      </c>
      <c r="S87" s="1172" t="s">
        <v>3319</v>
      </c>
      <c r="T87" s="1172" t="s">
        <v>3319</v>
      </c>
    </row>
    <row r="88" spans="2:20" s="1003" customFormat="1" ht="48" x14ac:dyDescent="0.25">
      <c r="B88" s="1171" t="s">
        <v>3323</v>
      </c>
      <c r="C88" s="1172" t="s">
        <v>3324</v>
      </c>
      <c r="D88" s="1172" t="s">
        <v>1158</v>
      </c>
      <c r="E88" s="1173">
        <v>0</v>
      </c>
      <c r="F88" s="1173">
        <v>0</v>
      </c>
      <c r="G88" s="1173">
        <v>0</v>
      </c>
      <c r="H88" s="1172">
        <v>12</v>
      </c>
      <c r="I88" s="1174">
        <v>5000</v>
      </c>
      <c r="J88" s="1172">
        <v>12</v>
      </c>
      <c r="K88" s="1175">
        <v>5000</v>
      </c>
      <c r="L88" s="1172">
        <v>12</v>
      </c>
      <c r="M88" s="1175">
        <f>105%*K88</f>
        <v>5250</v>
      </c>
      <c r="N88" s="1172">
        <v>12</v>
      </c>
      <c r="O88" s="1175">
        <f>105%*M88</f>
        <v>5512.5</v>
      </c>
      <c r="P88" s="1172">
        <v>12</v>
      </c>
      <c r="Q88" s="1175">
        <f>105%*O88</f>
        <v>5788.125</v>
      </c>
      <c r="R88" s="1172">
        <f t="shared" si="5"/>
        <v>60</v>
      </c>
      <c r="S88" s="1172" t="s">
        <v>3319</v>
      </c>
      <c r="T88" s="1172" t="s">
        <v>3319</v>
      </c>
    </row>
    <row r="89" spans="2:20" s="1003" customFormat="1" ht="51" x14ac:dyDescent="0.25">
      <c r="B89" s="1171" t="s">
        <v>1548</v>
      </c>
      <c r="C89" s="1172" t="s">
        <v>3325</v>
      </c>
      <c r="D89" s="1172" t="s">
        <v>3311</v>
      </c>
      <c r="E89" s="1173">
        <v>0</v>
      </c>
      <c r="F89" s="1172">
        <v>10</v>
      </c>
      <c r="G89" s="1173">
        <v>300000</v>
      </c>
      <c r="H89" s="1172">
        <v>10</v>
      </c>
      <c r="I89" s="1174">
        <v>353812</v>
      </c>
      <c r="J89" s="1172">
        <v>10</v>
      </c>
      <c r="K89" s="1175">
        <v>360000</v>
      </c>
      <c r="L89" s="1172">
        <v>10</v>
      </c>
      <c r="M89" s="1175">
        <f>110%*K89</f>
        <v>396000.00000000006</v>
      </c>
      <c r="N89" s="1172">
        <v>10</v>
      </c>
      <c r="O89" s="1175">
        <f>110%*M89</f>
        <v>435600.00000000012</v>
      </c>
      <c r="P89" s="1172">
        <v>10</v>
      </c>
      <c r="Q89" s="1175">
        <f>110%*O89</f>
        <v>479160.00000000017</v>
      </c>
      <c r="R89" s="1172">
        <f t="shared" si="5"/>
        <v>50</v>
      </c>
      <c r="S89" s="1172" t="s">
        <v>3319</v>
      </c>
      <c r="T89" s="1172" t="s">
        <v>3319</v>
      </c>
    </row>
    <row r="90" spans="2:20" s="1003" customFormat="1" ht="36" x14ac:dyDescent="0.2">
      <c r="B90" s="1193" t="s">
        <v>1690</v>
      </c>
      <c r="C90" s="1172" t="s">
        <v>3326</v>
      </c>
      <c r="D90" s="1172" t="s">
        <v>251</v>
      </c>
      <c r="E90" s="1173">
        <v>0</v>
      </c>
      <c r="F90" s="1173">
        <v>0</v>
      </c>
      <c r="G90" s="1173">
        <v>0</v>
      </c>
      <c r="H90" s="1172">
        <v>3</v>
      </c>
      <c r="I90" s="1174">
        <v>47000</v>
      </c>
      <c r="J90" s="1172">
        <v>3</v>
      </c>
      <c r="K90" s="1175">
        <v>240000</v>
      </c>
      <c r="L90" s="1172">
        <v>3</v>
      </c>
      <c r="M90" s="1175">
        <f t="shared" ref="M90:M97" si="6">105%*K90</f>
        <v>252000</v>
      </c>
      <c r="N90" s="1172">
        <v>3</v>
      </c>
      <c r="O90" s="1175">
        <f t="shared" ref="O90:O97" si="7">105%*M90</f>
        <v>264600</v>
      </c>
      <c r="P90" s="1172">
        <v>3</v>
      </c>
      <c r="Q90" s="1175">
        <f t="shared" ref="Q90:Q97" si="8">105%*O90</f>
        <v>277830</v>
      </c>
      <c r="R90" s="1172">
        <f t="shared" si="5"/>
        <v>15</v>
      </c>
      <c r="S90" s="1172" t="s">
        <v>3319</v>
      </c>
      <c r="T90" s="1172" t="s">
        <v>3319</v>
      </c>
    </row>
    <row r="91" spans="2:20" s="1003" customFormat="1" ht="48" x14ac:dyDescent="0.25">
      <c r="B91" s="1171" t="s">
        <v>3307</v>
      </c>
      <c r="C91" s="1172" t="s">
        <v>3327</v>
      </c>
      <c r="D91" s="1172" t="s">
        <v>427</v>
      </c>
      <c r="E91" s="1173">
        <v>0</v>
      </c>
      <c r="F91" s="1172">
        <v>40</v>
      </c>
      <c r="G91" s="1173">
        <v>4500</v>
      </c>
      <c r="H91" s="1172">
        <v>40</v>
      </c>
      <c r="I91" s="1174">
        <v>6000</v>
      </c>
      <c r="J91" s="1172">
        <v>40</v>
      </c>
      <c r="K91" s="1175">
        <v>6000</v>
      </c>
      <c r="L91" s="1172">
        <v>40</v>
      </c>
      <c r="M91" s="1175">
        <f t="shared" si="6"/>
        <v>6300</v>
      </c>
      <c r="N91" s="1172">
        <v>40</v>
      </c>
      <c r="O91" s="1175">
        <f t="shared" si="7"/>
        <v>6615</v>
      </c>
      <c r="P91" s="1172">
        <v>40</v>
      </c>
      <c r="Q91" s="1175">
        <f t="shared" si="8"/>
        <v>6945.75</v>
      </c>
      <c r="R91" s="1172">
        <f t="shared" si="5"/>
        <v>200</v>
      </c>
      <c r="S91" s="1172" t="s">
        <v>3319</v>
      </c>
      <c r="T91" s="1172" t="s">
        <v>3319</v>
      </c>
    </row>
    <row r="92" spans="2:20" s="1003" customFormat="1" ht="76.5" x14ac:dyDescent="0.25">
      <c r="B92" s="1171" t="s">
        <v>1614</v>
      </c>
      <c r="C92" s="1172" t="s">
        <v>3328</v>
      </c>
      <c r="D92" s="1172" t="s">
        <v>1158</v>
      </c>
      <c r="E92" s="1173">
        <v>0</v>
      </c>
      <c r="F92" s="1173">
        <v>0</v>
      </c>
      <c r="G92" s="1173">
        <v>0</v>
      </c>
      <c r="H92" s="1172">
        <v>12</v>
      </c>
      <c r="I92" s="1174">
        <v>5000</v>
      </c>
      <c r="J92" s="1172">
        <v>12</v>
      </c>
      <c r="K92" s="1175">
        <v>26400</v>
      </c>
      <c r="L92" s="1172">
        <v>12</v>
      </c>
      <c r="M92" s="1175">
        <f t="shared" si="6"/>
        <v>27720</v>
      </c>
      <c r="N92" s="1172">
        <v>12</v>
      </c>
      <c r="O92" s="1175">
        <f t="shared" si="7"/>
        <v>29106</v>
      </c>
      <c r="P92" s="1172">
        <v>12</v>
      </c>
      <c r="Q92" s="1175">
        <f t="shared" si="8"/>
        <v>30561.300000000003</v>
      </c>
      <c r="R92" s="1172">
        <f t="shared" si="5"/>
        <v>60</v>
      </c>
      <c r="S92" s="1172" t="s">
        <v>3319</v>
      </c>
      <c r="T92" s="1172" t="s">
        <v>3319</v>
      </c>
    </row>
    <row r="93" spans="2:20" s="1003" customFormat="1" ht="84" x14ac:dyDescent="0.25">
      <c r="B93" s="1171" t="s">
        <v>3329</v>
      </c>
      <c r="C93" s="1172" t="s">
        <v>3330</v>
      </c>
      <c r="D93" s="1172" t="s">
        <v>427</v>
      </c>
      <c r="E93" s="1173">
        <v>0</v>
      </c>
      <c r="F93" s="1173">
        <v>0</v>
      </c>
      <c r="G93" s="1173">
        <v>0</v>
      </c>
      <c r="H93" s="1172">
        <v>40</v>
      </c>
      <c r="I93" s="1174">
        <v>4500</v>
      </c>
      <c r="J93" s="1172">
        <v>40</v>
      </c>
      <c r="K93" s="1175">
        <v>4500</v>
      </c>
      <c r="L93" s="1172">
        <v>40</v>
      </c>
      <c r="M93" s="1175">
        <f t="shared" si="6"/>
        <v>4725</v>
      </c>
      <c r="N93" s="1172">
        <v>40</v>
      </c>
      <c r="O93" s="1175">
        <f t="shared" si="7"/>
        <v>4961.25</v>
      </c>
      <c r="P93" s="1172">
        <v>40</v>
      </c>
      <c r="Q93" s="1175">
        <f t="shared" si="8"/>
        <v>5209.3125</v>
      </c>
      <c r="R93" s="1172">
        <f t="shared" si="5"/>
        <v>200</v>
      </c>
      <c r="S93" s="1172" t="s">
        <v>3319</v>
      </c>
      <c r="T93" s="1172" t="s">
        <v>3319</v>
      </c>
    </row>
    <row r="94" spans="2:20" s="1003" customFormat="1" ht="114.75" x14ac:dyDescent="0.25">
      <c r="B94" s="1171" t="s">
        <v>763</v>
      </c>
      <c r="C94" s="1172" t="s">
        <v>3331</v>
      </c>
      <c r="D94" s="1172" t="s">
        <v>1158</v>
      </c>
      <c r="E94" s="1173">
        <v>0</v>
      </c>
      <c r="F94" s="1172">
        <v>12</v>
      </c>
      <c r="G94" s="1173">
        <v>6000</v>
      </c>
      <c r="H94" s="1172">
        <v>12</v>
      </c>
      <c r="I94" s="1174">
        <v>74000</v>
      </c>
      <c r="J94" s="1172">
        <v>12</v>
      </c>
      <c r="K94" s="1175">
        <v>7500</v>
      </c>
      <c r="L94" s="1172">
        <v>12</v>
      </c>
      <c r="M94" s="1175">
        <f t="shared" si="6"/>
        <v>7875</v>
      </c>
      <c r="N94" s="1172">
        <v>12</v>
      </c>
      <c r="O94" s="1175">
        <f t="shared" si="7"/>
        <v>8268.75</v>
      </c>
      <c r="P94" s="1172">
        <v>12</v>
      </c>
      <c r="Q94" s="1175">
        <f t="shared" si="8"/>
        <v>8682.1875</v>
      </c>
      <c r="R94" s="1172">
        <f t="shared" si="5"/>
        <v>60</v>
      </c>
      <c r="S94" s="1172" t="s">
        <v>3319</v>
      </c>
      <c r="T94" s="1172" t="s">
        <v>3319</v>
      </c>
    </row>
    <row r="95" spans="2:20" s="1003" customFormat="1" ht="48" x14ac:dyDescent="0.25">
      <c r="B95" s="1171" t="s">
        <v>3312</v>
      </c>
      <c r="C95" s="1172" t="s">
        <v>3332</v>
      </c>
      <c r="D95" s="1172" t="s">
        <v>427</v>
      </c>
      <c r="E95" s="1173">
        <v>0</v>
      </c>
      <c r="F95" s="1172">
        <v>30</v>
      </c>
      <c r="G95" s="1173">
        <v>3000</v>
      </c>
      <c r="H95" s="1172">
        <v>30</v>
      </c>
      <c r="I95" s="1174">
        <v>3500</v>
      </c>
      <c r="J95" s="1172">
        <v>30</v>
      </c>
      <c r="K95" s="1175">
        <v>4500</v>
      </c>
      <c r="L95" s="1172">
        <v>30</v>
      </c>
      <c r="M95" s="1175">
        <f t="shared" si="6"/>
        <v>4725</v>
      </c>
      <c r="N95" s="1172">
        <v>30</v>
      </c>
      <c r="O95" s="1175">
        <f t="shared" si="7"/>
        <v>4961.25</v>
      </c>
      <c r="P95" s="1172">
        <v>30</v>
      </c>
      <c r="Q95" s="1175">
        <f t="shared" si="8"/>
        <v>5209.3125</v>
      </c>
      <c r="R95" s="1172">
        <f t="shared" si="5"/>
        <v>150</v>
      </c>
      <c r="S95" s="1172" t="s">
        <v>3319</v>
      </c>
      <c r="T95" s="1172" t="s">
        <v>3319</v>
      </c>
    </row>
    <row r="96" spans="2:20" s="1003" customFormat="1" ht="60" x14ac:dyDescent="0.25">
      <c r="B96" s="1171" t="s">
        <v>1845</v>
      </c>
      <c r="C96" s="1172" t="s">
        <v>3333</v>
      </c>
      <c r="D96" s="1172" t="s">
        <v>3311</v>
      </c>
      <c r="E96" s="1173">
        <v>0</v>
      </c>
      <c r="F96" s="1172">
        <v>10</v>
      </c>
      <c r="G96" s="1173">
        <v>4000</v>
      </c>
      <c r="H96" s="1172">
        <v>10</v>
      </c>
      <c r="I96" s="1174">
        <v>19600</v>
      </c>
      <c r="J96" s="1172">
        <v>10</v>
      </c>
      <c r="K96" s="1175">
        <v>20000</v>
      </c>
      <c r="L96" s="1172">
        <v>10</v>
      </c>
      <c r="M96" s="1175">
        <f t="shared" si="6"/>
        <v>21000</v>
      </c>
      <c r="N96" s="1172">
        <v>10</v>
      </c>
      <c r="O96" s="1175">
        <f t="shared" si="7"/>
        <v>22050</v>
      </c>
      <c r="P96" s="1172">
        <v>10</v>
      </c>
      <c r="Q96" s="1175">
        <f t="shared" si="8"/>
        <v>23152.5</v>
      </c>
      <c r="R96" s="1172">
        <f t="shared" si="5"/>
        <v>50</v>
      </c>
      <c r="S96" s="1172" t="s">
        <v>3319</v>
      </c>
      <c r="T96" s="1172" t="s">
        <v>3319</v>
      </c>
    </row>
    <row r="97" spans="2:20" s="1003" customFormat="1" ht="60" x14ac:dyDescent="0.25">
      <c r="B97" s="1171" t="s">
        <v>1786</v>
      </c>
      <c r="C97" s="1172" t="s">
        <v>3334</v>
      </c>
      <c r="D97" s="1172" t="s">
        <v>427</v>
      </c>
      <c r="E97" s="1173">
        <v>0</v>
      </c>
      <c r="F97" s="1172">
        <v>36</v>
      </c>
      <c r="G97" s="1173">
        <v>7000</v>
      </c>
      <c r="H97" s="1172">
        <v>36</v>
      </c>
      <c r="I97" s="1174">
        <v>8000</v>
      </c>
      <c r="J97" s="1172">
        <v>36</v>
      </c>
      <c r="K97" s="1175">
        <v>8000</v>
      </c>
      <c r="L97" s="1172">
        <v>36</v>
      </c>
      <c r="M97" s="1175">
        <f t="shared" si="6"/>
        <v>8400</v>
      </c>
      <c r="N97" s="1172">
        <v>36</v>
      </c>
      <c r="O97" s="1175">
        <f t="shared" si="7"/>
        <v>8820</v>
      </c>
      <c r="P97" s="1172">
        <v>36</v>
      </c>
      <c r="Q97" s="1175">
        <f t="shared" si="8"/>
        <v>9261</v>
      </c>
      <c r="R97" s="1172">
        <f t="shared" si="5"/>
        <v>180</v>
      </c>
      <c r="S97" s="1172" t="s">
        <v>3319</v>
      </c>
      <c r="T97" s="1172" t="s">
        <v>3319</v>
      </c>
    </row>
    <row r="98" spans="2:20" s="1003" customFormat="1" x14ac:dyDescent="0.25">
      <c r="B98" s="1182"/>
      <c r="C98" s="1182"/>
      <c r="D98" s="1182"/>
      <c r="E98" s="1183"/>
      <c r="F98" s="1183"/>
      <c r="G98" s="1184"/>
      <c r="H98" s="1183"/>
      <c r="I98" s="1183"/>
      <c r="J98" s="1183"/>
      <c r="K98" s="1183"/>
      <c r="L98" s="1183"/>
      <c r="M98" s="1183"/>
      <c r="N98" s="1183"/>
      <c r="O98" s="1183"/>
      <c r="P98" s="1183"/>
      <c r="Q98" s="1183"/>
      <c r="R98" s="1183"/>
      <c r="S98" s="1182"/>
      <c r="T98" s="1182"/>
    </row>
    <row r="99" spans="2:20" s="1003" customFormat="1" ht="36" x14ac:dyDescent="0.25">
      <c r="B99" s="1168" t="s">
        <v>3335</v>
      </c>
      <c r="C99" s="1168"/>
      <c r="D99" s="1168"/>
      <c r="E99" s="1168"/>
      <c r="F99" s="1168"/>
      <c r="G99" s="1169">
        <f>SUM(G100:G117)</f>
        <v>426029</v>
      </c>
      <c r="H99" s="1168"/>
      <c r="I99" s="1169">
        <f>SUM(I100:I117)</f>
        <v>790247</v>
      </c>
      <c r="J99" s="1168"/>
      <c r="K99" s="1169">
        <f>SUM(K100:K117)</f>
        <v>893600</v>
      </c>
      <c r="L99" s="1170"/>
      <c r="M99" s="1169">
        <f>SUM(M100:M117)</f>
        <v>968280</v>
      </c>
      <c r="N99" s="1170"/>
      <c r="O99" s="1169">
        <f>SUM(O100:O117)</f>
        <v>1049694</v>
      </c>
      <c r="P99" s="1170"/>
      <c r="Q99" s="1169">
        <f>SUM(Q100:Q117)</f>
        <v>1138478.7000000002</v>
      </c>
      <c r="R99" s="1170"/>
      <c r="S99" s="1168"/>
      <c r="T99" s="1168"/>
    </row>
    <row r="100" spans="2:20" s="1003" customFormat="1" ht="63.75" x14ac:dyDescent="0.25">
      <c r="B100" s="1171" t="s">
        <v>36</v>
      </c>
      <c r="C100" s="1172" t="s">
        <v>1488</v>
      </c>
      <c r="D100" s="1172" t="s">
        <v>19</v>
      </c>
      <c r="E100" s="1173">
        <v>0</v>
      </c>
      <c r="F100" s="1172">
        <v>20</v>
      </c>
      <c r="G100" s="1173">
        <v>39529</v>
      </c>
      <c r="H100" s="1172">
        <v>20</v>
      </c>
      <c r="I100" s="1174">
        <v>49447</v>
      </c>
      <c r="J100" s="1172">
        <v>20</v>
      </c>
      <c r="K100" s="1175">
        <v>54850</v>
      </c>
      <c r="L100" s="1172">
        <v>20</v>
      </c>
      <c r="M100" s="1175">
        <f>105%*K100</f>
        <v>57592.5</v>
      </c>
      <c r="N100" s="1172">
        <v>20</v>
      </c>
      <c r="O100" s="1175">
        <f>105%*M100</f>
        <v>60472.125</v>
      </c>
      <c r="P100" s="1172">
        <v>20</v>
      </c>
      <c r="Q100" s="1175">
        <f>105%*O100</f>
        <v>63495.731250000004</v>
      </c>
      <c r="R100" s="1172">
        <f t="shared" ref="R100:R107" si="9">H100+J100+L100+N100+P100</f>
        <v>100</v>
      </c>
      <c r="S100" s="1172" t="s">
        <v>3336</v>
      </c>
      <c r="T100" s="1172" t="s">
        <v>3336</v>
      </c>
    </row>
    <row r="101" spans="2:20" s="1003" customFormat="1" ht="60" x14ac:dyDescent="0.25">
      <c r="B101" s="1171" t="s">
        <v>65</v>
      </c>
      <c r="C101" s="1172" t="s">
        <v>3234</v>
      </c>
      <c r="D101" s="1172" t="s">
        <v>19</v>
      </c>
      <c r="E101" s="1173">
        <v>0</v>
      </c>
      <c r="F101" s="1172">
        <v>20</v>
      </c>
      <c r="G101" s="1173">
        <v>53000</v>
      </c>
      <c r="H101" s="1172">
        <v>20</v>
      </c>
      <c r="I101" s="2116">
        <v>55000</v>
      </c>
      <c r="J101" s="1172">
        <v>20</v>
      </c>
      <c r="K101" s="2119">
        <v>67000</v>
      </c>
      <c r="L101" s="1172">
        <v>20</v>
      </c>
      <c r="M101" s="2119">
        <f>105%*K101</f>
        <v>70350</v>
      </c>
      <c r="N101" s="1172">
        <v>20</v>
      </c>
      <c r="O101" s="2119">
        <f>105%*M101</f>
        <v>73867.5</v>
      </c>
      <c r="P101" s="1172">
        <v>20</v>
      </c>
      <c r="Q101" s="2119">
        <f>105%*O101</f>
        <v>77560.875</v>
      </c>
      <c r="R101" s="1172">
        <f t="shared" si="9"/>
        <v>100</v>
      </c>
      <c r="S101" s="1172" t="s">
        <v>3336</v>
      </c>
      <c r="T101" s="1172" t="s">
        <v>3336</v>
      </c>
    </row>
    <row r="102" spans="2:20" s="1003" customFormat="1" ht="51" x14ac:dyDescent="0.25">
      <c r="B102" s="1172"/>
      <c r="C102" s="1172" t="s">
        <v>3235</v>
      </c>
      <c r="D102" s="1172" t="s">
        <v>19</v>
      </c>
      <c r="E102" s="1173">
        <v>0</v>
      </c>
      <c r="F102" s="1172">
        <v>20</v>
      </c>
      <c r="G102" s="1173"/>
      <c r="H102" s="1172">
        <v>20</v>
      </c>
      <c r="I102" s="2118"/>
      <c r="J102" s="1172">
        <v>20</v>
      </c>
      <c r="K102" s="2120"/>
      <c r="L102" s="1172">
        <v>20</v>
      </c>
      <c r="M102" s="2120"/>
      <c r="N102" s="1172">
        <v>20</v>
      </c>
      <c r="O102" s="2120"/>
      <c r="P102" s="1172">
        <v>20</v>
      </c>
      <c r="Q102" s="2120"/>
      <c r="R102" s="1172">
        <f t="shared" si="9"/>
        <v>100</v>
      </c>
      <c r="S102" s="1172" t="s">
        <v>3336</v>
      </c>
      <c r="T102" s="1172" t="s">
        <v>3336</v>
      </c>
    </row>
    <row r="103" spans="2:20" s="1003" customFormat="1" ht="51" x14ac:dyDescent="0.25">
      <c r="B103" s="1171" t="s">
        <v>1180</v>
      </c>
      <c r="C103" s="1172" t="s">
        <v>3337</v>
      </c>
      <c r="D103" s="1172" t="s">
        <v>251</v>
      </c>
      <c r="E103" s="1173">
        <v>0</v>
      </c>
      <c r="F103" s="1173">
        <v>0</v>
      </c>
      <c r="G103" s="1173">
        <v>0</v>
      </c>
      <c r="H103" s="1172">
        <v>1</v>
      </c>
      <c r="I103" s="1174">
        <v>74500</v>
      </c>
      <c r="J103" s="1185">
        <v>0</v>
      </c>
      <c r="K103" s="1185">
        <v>0</v>
      </c>
      <c r="L103" s="1185">
        <v>0</v>
      </c>
      <c r="M103" s="1185">
        <v>0</v>
      </c>
      <c r="N103" s="1185">
        <v>0</v>
      </c>
      <c r="O103" s="1185">
        <v>0</v>
      </c>
      <c r="P103" s="1185">
        <v>0</v>
      </c>
      <c r="Q103" s="1185">
        <v>0</v>
      </c>
      <c r="R103" s="1172">
        <f t="shared" si="9"/>
        <v>1</v>
      </c>
      <c r="S103" s="1172" t="s">
        <v>3336</v>
      </c>
      <c r="T103" s="1172" t="s">
        <v>3336</v>
      </c>
    </row>
    <row r="104" spans="2:20" s="1003" customFormat="1" ht="51" x14ac:dyDescent="0.25">
      <c r="B104" s="1171" t="s">
        <v>3323</v>
      </c>
      <c r="C104" s="1172" t="s">
        <v>3338</v>
      </c>
      <c r="D104" s="1172" t="s">
        <v>2558</v>
      </c>
      <c r="E104" s="1173">
        <v>0</v>
      </c>
      <c r="F104" s="1173">
        <v>0</v>
      </c>
      <c r="G104" s="1173">
        <v>0</v>
      </c>
      <c r="H104" s="1172">
        <v>11</v>
      </c>
      <c r="I104" s="1174">
        <v>41400</v>
      </c>
      <c r="J104" s="1172">
        <v>11</v>
      </c>
      <c r="K104" s="1175">
        <v>18000</v>
      </c>
      <c r="L104" s="1172">
        <v>11</v>
      </c>
      <c r="M104" s="1175">
        <f>105%*K104</f>
        <v>18900</v>
      </c>
      <c r="N104" s="1172">
        <v>11</v>
      </c>
      <c r="O104" s="1175">
        <f>105%*M104</f>
        <v>19845</v>
      </c>
      <c r="P104" s="1172">
        <v>11</v>
      </c>
      <c r="Q104" s="1175">
        <f>105%*O104</f>
        <v>20837.25</v>
      </c>
      <c r="R104" s="1172">
        <f t="shared" si="9"/>
        <v>55</v>
      </c>
      <c r="S104" s="1172" t="s">
        <v>3336</v>
      </c>
      <c r="T104" s="1172" t="s">
        <v>3336</v>
      </c>
    </row>
    <row r="105" spans="2:20" s="1003" customFormat="1" ht="51" x14ac:dyDescent="0.25">
      <c r="B105" s="1171"/>
      <c r="C105" s="1172" t="s">
        <v>3341</v>
      </c>
      <c r="D105" s="1172" t="s">
        <v>251</v>
      </c>
      <c r="E105" s="1173">
        <v>0</v>
      </c>
      <c r="F105" s="1173">
        <v>0</v>
      </c>
      <c r="G105" s="1173">
        <v>0</v>
      </c>
      <c r="H105" s="1172">
        <v>5</v>
      </c>
      <c r="I105" s="1174"/>
      <c r="J105" s="1185">
        <v>0</v>
      </c>
      <c r="K105" s="1185">
        <v>0</v>
      </c>
      <c r="L105" s="1185">
        <v>0</v>
      </c>
      <c r="M105" s="1185">
        <v>0</v>
      </c>
      <c r="N105" s="1185">
        <v>0</v>
      </c>
      <c r="O105" s="1185">
        <v>0</v>
      </c>
      <c r="P105" s="1185">
        <v>0</v>
      </c>
      <c r="Q105" s="1185">
        <v>0</v>
      </c>
      <c r="R105" s="1172">
        <v>5</v>
      </c>
      <c r="S105" s="1172" t="s">
        <v>3336</v>
      </c>
      <c r="T105" s="1172" t="s">
        <v>3336</v>
      </c>
    </row>
    <row r="106" spans="2:20" s="1003" customFormat="1" ht="51" x14ac:dyDescent="0.25">
      <c r="B106" s="1171" t="s">
        <v>1548</v>
      </c>
      <c r="C106" s="1172" t="s">
        <v>3339</v>
      </c>
      <c r="D106" s="1172" t="s">
        <v>251</v>
      </c>
      <c r="E106" s="1173">
        <v>0</v>
      </c>
      <c r="F106" s="1172">
        <v>0</v>
      </c>
      <c r="G106" s="1173">
        <v>300000</v>
      </c>
      <c r="H106" s="1172">
        <v>3</v>
      </c>
      <c r="I106" s="1174">
        <v>435000</v>
      </c>
      <c r="J106" s="1172">
        <v>3</v>
      </c>
      <c r="K106" s="1175">
        <v>600000</v>
      </c>
      <c r="L106" s="1172">
        <v>3</v>
      </c>
      <c r="M106" s="1175">
        <f>110%*K106</f>
        <v>660000</v>
      </c>
      <c r="N106" s="1172">
        <v>3</v>
      </c>
      <c r="O106" s="1175">
        <f>110%*M106</f>
        <v>726000.00000000012</v>
      </c>
      <c r="P106" s="1172">
        <v>3</v>
      </c>
      <c r="Q106" s="1175">
        <f>110%*O106</f>
        <v>798600.00000000023</v>
      </c>
      <c r="R106" s="1172">
        <f t="shared" si="9"/>
        <v>15</v>
      </c>
      <c r="S106" s="1172" t="s">
        <v>3336</v>
      </c>
      <c r="T106" s="1172" t="s">
        <v>3336</v>
      </c>
    </row>
    <row r="107" spans="2:20" s="1003" customFormat="1" ht="51" x14ac:dyDescent="0.25">
      <c r="B107" s="1172"/>
      <c r="C107" s="1172" t="s">
        <v>3340</v>
      </c>
      <c r="D107" s="1172" t="s">
        <v>3311</v>
      </c>
      <c r="E107" s="1173">
        <v>0</v>
      </c>
      <c r="F107" s="1173">
        <v>0</v>
      </c>
      <c r="G107" s="1173">
        <v>0</v>
      </c>
      <c r="H107" s="1172">
        <v>10</v>
      </c>
      <c r="I107" s="1174"/>
      <c r="J107" s="1172">
        <v>10</v>
      </c>
      <c r="K107" s="1175"/>
      <c r="L107" s="1172">
        <v>10</v>
      </c>
      <c r="M107" s="1175"/>
      <c r="N107" s="1172">
        <v>10</v>
      </c>
      <c r="O107" s="1175"/>
      <c r="P107" s="1172">
        <v>10</v>
      </c>
      <c r="Q107" s="1175"/>
      <c r="R107" s="1172">
        <f t="shared" si="9"/>
        <v>50</v>
      </c>
      <c r="S107" s="1172" t="s">
        <v>3336</v>
      </c>
      <c r="T107" s="1172" t="s">
        <v>3336</v>
      </c>
    </row>
    <row r="108" spans="2:20" s="1003" customFormat="1" ht="51" x14ac:dyDescent="0.25">
      <c r="B108" s="1171" t="s">
        <v>77</v>
      </c>
      <c r="C108" s="1172" t="s">
        <v>3342</v>
      </c>
      <c r="D108" s="1172" t="s">
        <v>257</v>
      </c>
      <c r="E108" s="1173">
        <v>0</v>
      </c>
      <c r="F108" s="1173">
        <v>0</v>
      </c>
      <c r="G108" s="1173">
        <v>0</v>
      </c>
      <c r="H108" s="1172">
        <v>3</v>
      </c>
      <c r="I108" s="1174">
        <v>3000</v>
      </c>
      <c r="J108" s="1172">
        <v>3</v>
      </c>
      <c r="K108" s="1175">
        <v>5000</v>
      </c>
      <c r="L108" s="1172">
        <v>3</v>
      </c>
      <c r="M108" s="1175">
        <f>105%*K108</f>
        <v>5250</v>
      </c>
      <c r="N108" s="1172">
        <v>3</v>
      </c>
      <c r="O108" s="1175">
        <f>105%*M108</f>
        <v>5512.5</v>
      </c>
      <c r="P108" s="1172">
        <v>3</v>
      </c>
      <c r="Q108" s="1175">
        <f>105%*O108</f>
        <v>5788.125</v>
      </c>
      <c r="R108" s="1172">
        <f t="shared" ref="R108:R116" si="10">H108+J108+L108+N108+P108</f>
        <v>15</v>
      </c>
      <c r="S108" s="1172" t="s">
        <v>3336</v>
      </c>
      <c r="T108" s="1172" t="s">
        <v>3336</v>
      </c>
    </row>
    <row r="109" spans="2:20" s="1003" customFormat="1" ht="51" x14ac:dyDescent="0.25">
      <c r="B109" s="1171" t="s">
        <v>3307</v>
      </c>
      <c r="C109" s="1172" t="s">
        <v>3343</v>
      </c>
      <c r="D109" s="1172" t="s">
        <v>427</v>
      </c>
      <c r="E109" s="1173">
        <v>0</v>
      </c>
      <c r="F109" s="1172">
        <v>80</v>
      </c>
      <c r="G109" s="1173">
        <v>6000</v>
      </c>
      <c r="H109" s="1172">
        <v>80</v>
      </c>
      <c r="I109" s="1174">
        <v>7000</v>
      </c>
      <c r="J109" s="1172">
        <v>80</v>
      </c>
      <c r="K109" s="1175">
        <v>8000</v>
      </c>
      <c r="L109" s="1172">
        <v>80</v>
      </c>
      <c r="M109" s="1175">
        <f>105%*K109</f>
        <v>8400</v>
      </c>
      <c r="N109" s="1172">
        <v>80</v>
      </c>
      <c r="O109" s="1175">
        <f>105%*M109</f>
        <v>8820</v>
      </c>
      <c r="P109" s="1172">
        <v>80</v>
      </c>
      <c r="Q109" s="1175">
        <f>105%*O109</f>
        <v>9261</v>
      </c>
      <c r="R109" s="1172">
        <f t="shared" si="10"/>
        <v>400</v>
      </c>
      <c r="S109" s="1172" t="s">
        <v>3336</v>
      </c>
      <c r="T109" s="1172" t="s">
        <v>3336</v>
      </c>
    </row>
    <row r="110" spans="2:20" s="1003" customFormat="1" ht="60" x14ac:dyDescent="0.25">
      <c r="B110" s="1171" t="s">
        <v>1614</v>
      </c>
      <c r="C110" s="1172" t="s">
        <v>3344</v>
      </c>
      <c r="D110" s="1172" t="s">
        <v>1158</v>
      </c>
      <c r="E110" s="1173">
        <v>0</v>
      </c>
      <c r="F110" s="1173">
        <v>0</v>
      </c>
      <c r="G110" s="1173">
        <v>0</v>
      </c>
      <c r="H110" s="1172">
        <v>12</v>
      </c>
      <c r="I110" s="1174">
        <v>18000</v>
      </c>
      <c r="J110" s="1172">
        <v>12</v>
      </c>
      <c r="K110" s="1175">
        <v>18000</v>
      </c>
      <c r="L110" s="1172">
        <v>12</v>
      </c>
      <c r="M110" s="1175">
        <f>105%*K110</f>
        <v>18900</v>
      </c>
      <c r="N110" s="1172">
        <v>12</v>
      </c>
      <c r="O110" s="1175">
        <f>105%*M110</f>
        <v>19845</v>
      </c>
      <c r="P110" s="1172">
        <v>12</v>
      </c>
      <c r="Q110" s="1175">
        <f>105%*O110</f>
        <v>20837.25</v>
      </c>
      <c r="R110" s="1172">
        <f t="shared" si="10"/>
        <v>60</v>
      </c>
      <c r="S110" s="1172" t="s">
        <v>3336</v>
      </c>
      <c r="T110" s="1172" t="s">
        <v>3336</v>
      </c>
    </row>
    <row r="111" spans="2:20" s="1003" customFormat="1" ht="60" x14ac:dyDescent="0.25">
      <c r="B111" s="1171" t="s">
        <v>763</v>
      </c>
      <c r="C111" s="1172" t="s">
        <v>3345</v>
      </c>
      <c r="D111" s="1172" t="s">
        <v>1158</v>
      </c>
      <c r="E111" s="1173">
        <v>0</v>
      </c>
      <c r="F111" s="1172">
        <v>11</v>
      </c>
      <c r="G111" s="1173">
        <v>4000</v>
      </c>
      <c r="H111" s="1172">
        <v>11</v>
      </c>
      <c r="I111" s="1174">
        <v>30900</v>
      </c>
      <c r="J111" s="1172">
        <v>11</v>
      </c>
      <c r="K111" s="1175">
        <v>39650</v>
      </c>
      <c r="L111" s="1172">
        <v>11</v>
      </c>
      <c r="M111" s="1175">
        <f>105%*K111</f>
        <v>41632.5</v>
      </c>
      <c r="N111" s="1172">
        <v>11</v>
      </c>
      <c r="O111" s="1175">
        <f>105%*M111</f>
        <v>43714.125</v>
      </c>
      <c r="P111" s="1172">
        <v>11</v>
      </c>
      <c r="Q111" s="1175">
        <f>105%*O111</f>
        <v>45899.831250000003</v>
      </c>
      <c r="R111" s="1172">
        <f t="shared" si="10"/>
        <v>55</v>
      </c>
      <c r="S111" s="1172" t="s">
        <v>3336</v>
      </c>
      <c r="T111" s="1172" t="s">
        <v>3336</v>
      </c>
    </row>
    <row r="112" spans="2:20" s="1003" customFormat="1" ht="51" x14ac:dyDescent="0.25">
      <c r="B112" s="1172"/>
      <c r="C112" s="1172" t="s">
        <v>3346</v>
      </c>
      <c r="D112" s="1172" t="s">
        <v>282</v>
      </c>
      <c r="E112" s="1173">
        <v>0</v>
      </c>
      <c r="F112" s="1172">
        <v>1</v>
      </c>
      <c r="G112" s="1173">
        <f>95%*I112</f>
        <v>0</v>
      </c>
      <c r="H112" s="1172">
        <v>1</v>
      </c>
      <c r="I112" s="1174"/>
      <c r="J112" s="1172">
        <v>1</v>
      </c>
      <c r="K112" s="1175"/>
      <c r="L112" s="1172">
        <v>1</v>
      </c>
      <c r="M112" s="1175"/>
      <c r="N112" s="1172">
        <v>1</v>
      </c>
      <c r="O112" s="1175"/>
      <c r="P112" s="1172">
        <v>1</v>
      </c>
      <c r="Q112" s="1175"/>
      <c r="R112" s="1172">
        <f t="shared" si="10"/>
        <v>5</v>
      </c>
      <c r="S112" s="1172" t="s">
        <v>3336</v>
      </c>
      <c r="T112" s="1172" t="s">
        <v>3336</v>
      </c>
    </row>
    <row r="113" spans="2:20" s="1003" customFormat="1" ht="51" x14ac:dyDescent="0.25">
      <c r="B113" s="1171" t="s">
        <v>3312</v>
      </c>
      <c r="C113" s="1172" t="s">
        <v>3347</v>
      </c>
      <c r="D113" s="1172" t="s">
        <v>282</v>
      </c>
      <c r="E113" s="1173">
        <v>0</v>
      </c>
      <c r="F113" s="1173">
        <v>0</v>
      </c>
      <c r="G113" s="1173">
        <v>0</v>
      </c>
      <c r="H113" s="1172">
        <v>1</v>
      </c>
      <c r="I113" s="1174">
        <v>5000</v>
      </c>
      <c r="J113" s="1172">
        <v>1</v>
      </c>
      <c r="K113" s="1175">
        <v>7000</v>
      </c>
      <c r="L113" s="1172">
        <v>1</v>
      </c>
      <c r="M113" s="1175">
        <f>105%*K113</f>
        <v>7350</v>
      </c>
      <c r="N113" s="1172">
        <v>1</v>
      </c>
      <c r="O113" s="1175">
        <f>105%*M113</f>
        <v>7717.5</v>
      </c>
      <c r="P113" s="1172">
        <v>1</v>
      </c>
      <c r="Q113" s="1175">
        <f>105%*O113</f>
        <v>8103.375</v>
      </c>
      <c r="R113" s="1172">
        <f t="shared" si="10"/>
        <v>5</v>
      </c>
      <c r="S113" s="1172" t="s">
        <v>3336</v>
      </c>
      <c r="T113" s="1172" t="s">
        <v>3336</v>
      </c>
    </row>
    <row r="114" spans="2:20" s="1003" customFormat="1" ht="60" x14ac:dyDescent="0.25">
      <c r="B114" s="1171" t="s">
        <v>424</v>
      </c>
      <c r="C114" s="1172" t="s">
        <v>3348</v>
      </c>
      <c r="D114" s="1172" t="s">
        <v>427</v>
      </c>
      <c r="E114" s="1173">
        <v>0</v>
      </c>
      <c r="F114" s="1172">
        <v>42</v>
      </c>
      <c r="G114" s="1173">
        <v>8500</v>
      </c>
      <c r="H114" s="1172">
        <v>42</v>
      </c>
      <c r="I114" s="1174">
        <v>17600</v>
      </c>
      <c r="J114" s="1172">
        <v>42</v>
      </c>
      <c r="K114" s="1175">
        <v>11000</v>
      </c>
      <c r="L114" s="1172">
        <v>42</v>
      </c>
      <c r="M114" s="1175">
        <f>105%*K114</f>
        <v>11550</v>
      </c>
      <c r="N114" s="1172">
        <v>42</v>
      </c>
      <c r="O114" s="1175">
        <f>105%*M114</f>
        <v>12127.5</v>
      </c>
      <c r="P114" s="1172">
        <v>42</v>
      </c>
      <c r="Q114" s="1175">
        <f>105%*O114</f>
        <v>12733.875</v>
      </c>
      <c r="R114" s="1172">
        <f t="shared" si="10"/>
        <v>210</v>
      </c>
      <c r="S114" s="1172" t="s">
        <v>3336</v>
      </c>
      <c r="T114" s="1172" t="s">
        <v>3336</v>
      </c>
    </row>
    <row r="115" spans="2:20" s="1003" customFormat="1" ht="60" x14ac:dyDescent="0.25">
      <c r="B115" s="1171" t="s">
        <v>1845</v>
      </c>
      <c r="C115" s="1172" t="s">
        <v>3349</v>
      </c>
      <c r="D115" s="1172" t="s">
        <v>427</v>
      </c>
      <c r="E115" s="1173">
        <v>0</v>
      </c>
      <c r="F115" s="1173">
        <v>0</v>
      </c>
      <c r="G115" s="1173">
        <v>0</v>
      </c>
      <c r="H115" s="1172">
        <v>68</v>
      </c>
      <c r="I115" s="1174">
        <v>41400</v>
      </c>
      <c r="J115" s="1172">
        <v>68</v>
      </c>
      <c r="K115" s="1175">
        <v>48100</v>
      </c>
      <c r="L115" s="1172">
        <v>68</v>
      </c>
      <c r="M115" s="1175">
        <f>105%*K115</f>
        <v>50505</v>
      </c>
      <c r="N115" s="1172">
        <v>68</v>
      </c>
      <c r="O115" s="1175">
        <f>105%*M115</f>
        <v>53030.25</v>
      </c>
      <c r="P115" s="1172">
        <v>68</v>
      </c>
      <c r="Q115" s="1175">
        <f>105%*O115</f>
        <v>55681.762500000004</v>
      </c>
      <c r="R115" s="1172">
        <f t="shared" si="10"/>
        <v>340</v>
      </c>
      <c r="S115" s="1172" t="s">
        <v>3336</v>
      </c>
      <c r="T115" s="1172" t="s">
        <v>3336</v>
      </c>
    </row>
    <row r="116" spans="2:20" s="1003" customFormat="1" ht="60" x14ac:dyDescent="0.25">
      <c r="B116" s="1171" t="s">
        <v>1786</v>
      </c>
      <c r="C116" s="1172" t="s">
        <v>3350</v>
      </c>
      <c r="D116" s="1172" t="s">
        <v>427</v>
      </c>
      <c r="E116" s="1173">
        <v>0</v>
      </c>
      <c r="F116" s="1172">
        <v>60</v>
      </c>
      <c r="G116" s="1173">
        <v>15000</v>
      </c>
      <c r="H116" s="1172">
        <v>60</v>
      </c>
      <c r="I116" s="1174">
        <v>12000</v>
      </c>
      <c r="J116" s="1172">
        <v>60</v>
      </c>
      <c r="K116" s="1175">
        <v>17000</v>
      </c>
      <c r="L116" s="1172">
        <v>60</v>
      </c>
      <c r="M116" s="1175">
        <f>105%*K116</f>
        <v>17850</v>
      </c>
      <c r="N116" s="1172">
        <v>60</v>
      </c>
      <c r="O116" s="1175">
        <f>105%*M116</f>
        <v>18742.5</v>
      </c>
      <c r="P116" s="1172">
        <v>60</v>
      </c>
      <c r="Q116" s="1175">
        <f>105%*O116</f>
        <v>19679.625</v>
      </c>
      <c r="R116" s="1172">
        <f t="shared" si="10"/>
        <v>300</v>
      </c>
      <c r="S116" s="1172" t="s">
        <v>3336</v>
      </c>
      <c r="T116" s="1172" t="s">
        <v>3336</v>
      </c>
    </row>
    <row r="117" spans="2:20" s="1003" customFormat="1" x14ac:dyDescent="0.25">
      <c r="B117" s="1182"/>
      <c r="C117" s="1182"/>
      <c r="D117" s="1182"/>
      <c r="E117" s="1183"/>
      <c r="F117" s="1183"/>
      <c r="G117" s="1184"/>
      <c r="H117" s="1183"/>
      <c r="I117" s="1175"/>
      <c r="J117" s="1183"/>
      <c r="K117" s="1183"/>
      <c r="L117" s="1183"/>
      <c r="M117" s="1183"/>
      <c r="N117" s="1183"/>
      <c r="O117" s="1183"/>
      <c r="P117" s="1183"/>
      <c r="Q117" s="1183"/>
      <c r="R117" s="1183"/>
      <c r="S117" s="1182"/>
      <c r="T117" s="1182"/>
    </row>
    <row r="118" spans="2:20" s="1003" customFormat="1" ht="24" x14ac:dyDescent="0.25">
      <c r="B118" s="1168" t="s">
        <v>3351</v>
      </c>
      <c r="C118" s="1168"/>
      <c r="D118" s="1168"/>
      <c r="E118" s="1168"/>
      <c r="F118" s="1168"/>
      <c r="G118" s="1169">
        <f>SUM(G119:G128)</f>
        <v>411853</v>
      </c>
      <c r="H118" s="1168"/>
      <c r="I118" s="1169">
        <f>SUM(I119:I128)</f>
        <v>753592</v>
      </c>
      <c r="J118" s="1168"/>
      <c r="K118" s="1169">
        <f>SUM(K119:K128)</f>
        <v>777350</v>
      </c>
      <c r="L118" s="1170"/>
      <c r="M118" s="1169">
        <f>SUM(M119:M128)</f>
        <v>848717.5</v>
      </c>
      <c r="N118" s="1170"/>
      <c r="O118" s="1169">
        <f>SUM(O119:O128)</f>
        <v>926903.37500000012</v>
      </c>
      <c r="P118" s="1170"/>
      <c r="Q118" s="1169">
        <f>SUM(Q119:Q128)</f>
        <v>1012573.5437500002</v>
      </c>
      <c r="R118" s="1170"/>
      <c r="S118" s="1168"/>
      <c r="T118" s="1168"/>
    </row>
    <row r="119" spans="2:20" s="1003" customFormat="1" ht="63.75" x14ac:dyDescent="0.25">
      <c r="B119" s="1171" t="s">
        <v>36</v>
      </c>
      <c r="C119" s="1172" t="s">
        <v>1488</v>
      </c>
      <c r="D119" s="1172" t="s">
        <v>19</v>
      </c>
      <c r="E119" s="1173">
        <v>0</v>
      </c>
      <c r="F119" s="1172">
        <v>20</v>
      </c>
      <c r="G119" s="1173">
        <v>52453</v>
      </c>
      <c r="H119" s="1172">
        <v>20</v>
      </c>
      <c r="I119" s="1174">
        <v>58997</v>
      </c>
      <c r="J119" s="1172">
        <v>20</v>
      </c>
      <c r="K119" s="1175">
        <v>62850</v>
      </c>
      <c r="L119" s="1172">
        <v>20</v>
      </c>
      <c r="M119" s="1175">
        <f>105%*K119</f>
        <v>65992.5</v>
      </c>
      <c r="N119" s="1172">
        <v>20</v>
      </c>
      <c r="O119" s="1175">
        <f>105%*M119</f>
        <v>69292.125</v>
      </c>
      <c r="P119" s="1172">
        <v>20</v>
      </c>
      <c r="Q119" s="1175">
        <f>105%*O119</f>
        <v>72756.731249999997</v>
      </c>
      <c r="R119" s="1172">
        <f t="shared" ref="R119:R127" si="11">H119+J119+L119+N119+P119</f>
        <v>100</v>
      </c>
      <c r="S119" s="1172" t="s">
        <v>3352</v>
      </c>
      <c r="T119" s="1172" t="s">
        <v>3352</v>
      </c>
    </row>
    <row r="120" spans="2:20" s="1003" customFormat="1" ht="60" x14ac:dyDescent="0.25">
      <c r="B120" s="1171" t="s">
        <v>65</v>
      </c>
      <c r="C120" s="1172" t="s">
        <v>3234</v>
      </c>
      <c r="D120" s="1172" t="s">
        <v>19</v>
      </c>
      <c r="E120" s="1173">
        <v>0</v>
      </c>
      <c r="F120" s="1172">
        <v>20</v>
      </c>
      <c r="G120" s="1173">
        <v>26900</v>
      </c>
      <c r="H120" s="1172">
        <v>20</v>
      </c>
      <c r="I120" s="2116">
        <v>30500</v>
      </c>
      <c r="J120" s="1172">
        <v>20</v>
      </c>
      <c r="K120" s="2119">
        <v>30000</v>
      </c>
      <c r="L120" s="1172">
        <v>20</v>
      </c>
      <c r="M120" s="2119">
        <f>105%*K120</f>
        <v>31500</v>
      </c>
      <c r="N120" s="1172">
        <v>20</v>
      </c>
      <c r="O120" s="2119">
        <f>105%*M120</f>
        <v>33075</v>
      </c>
      <c r="P120" s="1172">
        <v>20</v>
      </c>
      <c r="Q120" s="2119">
        <f>105%*O120</f>
        <v>34728.75</v>
      </c>
      <c r="R120" s="1172">
        <f t="shared" si="11"/>
        <v>100</v>
      </c>
      <c r="S120" s="1172" t="s">
        <v>3352</v>
      </c>
      <c r="T120" s="1172" t="s">
        <v>3352</v>
      </c>
    </row>
    <row r="121" spans="2:20" s="1003" customFormat="1" ht="38.25" x14ac:dyDescent="0.25">
      <c r="B121" s="1172"/>
      <c r="C121" s="1172" t="s">
        <v>3235</v>
      </c>
      <c r="D121" s="1172" t="s">
        <v>19</v>
      </c>
      <c r="E121" s="1173">
        <v>0</v>
      </c>
      <c r="F121" s="1172">
        <v>20</v>
      </c>
      <c r="G121" s="1173"/>
      <c r="H121" s="1172">
        <v>20</v>
      </c>
      <c r="I121" s="2118"/>
      <c r="J121" s="1172">
        <v>20</v>
      </c>
      <c r="K121" s="2120"/>
      <c r="L121" s="1172">
        <v>20</v>
      </c>
      <c r="M121" s="2120"/>
      <c r="N121" s="1172">
        <v>20</v>
      </c>
      <c r="O121" s="2120"/>
      <c r="P121" s="1172">
        <v>20</v>
      </c>
      <c r="Q121" s="2120"/>
      <c r="R121" s="1172">
        <f t="shared" si="11"/>
        <v>100</v>
      </c>
      <c r="S121" s="1172" t="s">
        <v>3352</v>
      </c>
      <c r="T121" s="1172" t="s">
        <v>3352</v>
      </c>
    </row>
    <row r="122" spans="2:20" s="1003" customFormat="1" ht="51" x14ac:dyDescent="0.25">
      <c r="B122" s="1171" t="s">
        <v>1548</v>
      </c>
      <c r="C122" s="1172" t="s">
        <v>3353</v>
      </c>
      <c r="D122" s="1172" t="s">
        <v>1158</v>
      </c>
      <c r="E122" s="1173">
        <v>0</v>
      </c>
      <c r="F122" s="1172">
        <v>12</v>
      </c>
      <c r="G122" s="1173">
        <v>300000</v>
      </c>
      <c r="H122" s="1172">
        <v>12</v>
      </c>
      <c r="I122" s="1174">
        <v>631595</v>
      </c>
      <c r="J122" s="1172">
        <v>12</v>
      </c>
      <c r="K122" s="1175">
        <v>650000</v>
      </c>
      <c r="L122" s="1172">
        <v>12</v>
      </c>
      <c r="M122" s="1175">
        <f>110%*K122</f>
        <v>715000</v>
      </c>
      <c r="N122" s="1172">
        <v>12</v>
      </c>
      <c r="O122" s="1175">
        <f>110%*M122</f>
        <v>786500.00000000012</v>
      </c>
      <c r="P122" s="1172">
        <v>12</v>
      </c>
      <c r="Q122" s="1175">
        <f>110%*O122</f>
        <v>865150.00000000023</v>
      </c>
      <c r="R122" s="1172">
        <f t="shared" si="11"/>
        <v>60</v>
      </c>
      <c r="S122" s="1172" t="s">
        <v>3352</v>
      </c>
      <c r="T122" s="1172" t="s">
        <v>3352</v>
      </c>
    </row>
    <row r="123" spans="2:20" s="1003" customFormat="1" ht="48" x14ac:dyDescent="0.25">
      <c r="B123" s="1171" t="s">
        <v>3307</v>
      </c>
      <c r="C123" s="1172" t="s">
        <v>3354</v>
      </c>
      <c r="D123" s="1172" t="s">
        <v>1158</v>
      </c>
      <c r="E123" s="1173">
        <v>0</v>
      </c>
      <c r="F123" s="1172">
        <v>12</v>
      </c>
      <c r="G123" s="1173">
        <v>8500</v>
      </c>
      <c r="H123" s="1172">
        <v>12</v>
      </c>
      <c r="I123" s="1174">
        <v>8500</v>
      </c>
      <c r="J123" s="1172">
        <v>12</v>
      </c>
      <c r="K123" s="1175">
        <v>8500</v>
      </c>
      <c r="L123" s="1172">
        <v>12</v>
      </c>
      <c r="M123" s="1175">
        <f>105%*K123</f>
        <v>8925</v>
      </c>
      <c r="N123" s="1172">
        <v>12</v>
      </c>
      <c r="O123" s="1175">
        <f>105%*M123</f>
        <v>9371.25</v>
      </c>
      <c r="P123" s="1172">
        <v>12</v>
      </c>
      <c r="Q123" s="1175">
        <f>105%*O123</f>
        <v>9839.8125</v>
      </c>
      <c r="R123" s="1172">
        <f t="shared" si="11"/>
        <v>60</v>
      </c>
      <c r="S123" s="1172" t="s">
        <v>3352</v>
      </c>
      <c r="T123" s="1172" t="s">
        <v>3352</v>
      </c>
    </row>
    <row r="124" spans="2:20" s="1003" customFormat="1" ht="60" x14ac:dyDescent="0.25">
      <c r="B124" s="1171" t="s">
        <v>763</v>
      </c>
      <c r="C124" s="1172" t="s">
        <v>3355</v>
      </c>
      <c r="D124" s="1172" t="s">
        <v>1158</v>
      </c>
      <c r="E124" s="1173">
        <v>0</v>
      </c>
      <c r="F124" s="1172">
        <v>12</v>
      </c>
      <c r="G124" s="1173">
        <v>4500</v>
      </c>
      <c r="H124" s="1172">
        <v>12</v>
      </c>
      <c r="I124" s="1174">
        <v>4500</v>
      </c>
      <c r="J124" s="1172">
        <v>12</v>
      </c>
      <c r="K124" s="1175">
        <v>5500</v>
      </c>
      <c r="L124" s="1172">
        <v>12</v>
      </c>
      <c r="M124" s="1175">
        <f>105%*K124</f>
        <v>5775</v>
      </c>
      <c r="N124" s="1172">
        <v>12</v>
      </c>
      <c r="O124" s="1175">
        <f>105%*M124</f>
        <v>6063.75</v>
      </c>
      <c r="P124" s="1172">
        <v>12</v>
      </c>
      <c r="Q124" s="1175">
        <f>105%*O124</f>
        <v>6366.9375</v>
      </c>
      <c r="R124" s="1172">
        <f t="shared" si="11"/>
        <v>60</v>
      </c>
      <c r="S124" s="1172" t="s">
        <v>3352</v>
      </c>
      <c r="T124" s="1172" t="s">
        <v>3352</v>
      </c>
    </row>
    <row r="125" spans="2:20" s="1003" customFormat="1" ht="48" x14ac:dyDescent="0.25">
      <c r="B125" s="1171" t="s">
        <v>3312</v>
      </c>
      <c r="C125" s="1172" t="s">
        <v>3356</v>
      </c>
      <c r="D125" s="1172" t="s">
        <v>1158</v>
      </c>
      <c r="E125" s="1173">
        <v>0</v>
      </c>
      <c r="F125" s="1172">
        <v>12</v>
      </c>
      <c r="G125" s="1173">
        <v>7500</v>
      </c>
      <c r="H125" s="1172">
        <v>12</v>
      </c>
      <c r="I125" s="1174">
        <v>7500</v>
      </c>
      <c r="J125" s="1172">
        <v>12</v>
      </c>
      <c r="K125" s="1175">
        <v>7500</v>
      </c>
      <c r="L125" s="1172">
        <v>12</v>
      </c>
      <c r="M125" s="1175">
        <f>105%*K125</f>
        <v>7875</v>
      </c>
      <c r="N125" s="1172">
        <v>12</v>
      </c>
      <c r="O125" s="1175">
        <f>105%*M125</f>
        <v>8268.75</v>
      </c>
      <c r="P125" s="1172">
        <v>12</v>
      </c>
      <c r="Q125" s="1175">
        <f>105%*O125</f>
        <v>8682.1875</v>
      </c>
      <c r="R125" s="1172">
        <f t="shared" si="11"/>
        <v>60</v>
      </c>
      <c r="S125" s="1172" t="s">
        <v>3352</v>
      </c>
      <c r="T125" s="1172" t="s">
        <v>3352</v>
      </c>
    </row>
    <row r="126" spans="2:20" s="1003" customFormat="1" ht="60" x14ac:dyDescent="0.25">
      <c r="B126" s="1171" t="s">
        <v>1786</v>
      </c>
      <c r="C126" s="1172" t="s">
        <v>3357</v>
      </c>
      <c r="D126" s="1172" t="s">
        <v>427</v>
      </c>
      <c r="E126" s="1173">
        <v>0</v>
      </c>
      <c r="F126" s="1172">
        <v>80</v>
      </c>
      <c r="G126" s="1173">
        <v>9000</v>
      </c>
      <c r="H126" s="1172">
        <v>80</v>
      </c>
      <c r="I126" s="1174">
        <v>9000</v>
      </c>
      <c r="J126" s="1172">
        <v>80</v>
      </c>
      <c r="K126" s="1175">
        <v>10000</v>
      </c>
      <c r="L126" s="1172">
        <v>80</v>
      </c>
      <c r="M126" s="1175">
        <f>105%*K126</f>
        <v>10500</v>
      </c>
      <c r="N126" s="1172">
        <v>80</v>
      </c>
      <c r="O126" s="1175">
        <f>105%*M126</f>
        <v>11025</v>
      </c>
      <c r="P126" s="1172">
        <v>80</v>
      </c>
      <c r="Q126" s="1175">
        <f>105%*O126</f>
        <v>11576.25</v>
      </c>
      <c r="R126" s="1172">
        <f t="shared" si="11"/>
        <v>400</v>
      </c>
      <c r="S126" s="1172" t="s">
        <v>3352</v>
      </c>
      <c r="T126" s="1172" t="s">
        <v>3352</v>
      </c>
    </row>
    <row r="127" spans="2:20" s="1003" customFormat="1" ht="60" x14ac:dyDescent="0.25">
      <c r="B127" s="1171" t="s">
        <v>167</v>
      </c>
      <c r="C127" s="1172" t="s">
        <v>3358</v>
      </c>
      <c r="D127" s="1172" t="s">
        <v>1158</v>
      </c>
      <c r="E127" s="1173">
        <v>0</v>
      </c>
      <c r="F127" s="1172">
        <v>12</v>
      </c>
      <c r="G127" s="1173">
        <v>3000</v>
      </c>
      <c r="H127" s="1172">
        <v>12</v>
      </c>
      <c r="I127" s="1174">
        <v>3000</v>
      </c>
      <c r="J127" s="1172">
        <v>12</v>
      </c>
      <c r="K127" s="1175">
        <v>3000</v>
      </c>
      <c r="L127" s="1172">
        <v>12</v>
      </c>
      <c r="M127" s="1175">
        <f>105%*K127</f>
        <v>3150</v>
      </c>
      <c r="N127" s="1172">
        <v>12</v>
      </c>
      <c r="O127" s="1175">
        <f>105%*M127</f>
        <v>3307.5</v>
      </c>
      <c r="P127" s="1172">
        <v>12</v>
      </c>
      <c r="Q127" s="1175">
        <f>105%*O127</f>
        <v>3472.875</v>
      </c>
      <c r="R127" s="1172">
        <f t="shared" si="11"/>
        <v>60</v>
      </c>
      <c r="S127" s="1172" t="s">
        <v>3352</v>
      </c>
      <c r="T127" s="1172" t="s">
        <v>3352</v>
      </c>
    </row>
    <row r="128" spans="2:20" s="1003" customFormat="1" x14ac:dyDescent="0.25">
      <c r="B128" s="1182"/>
      <c r="C128" s="1182"/>
      <c r="D128" s="1182"/>
      <c r="E128" s="1183"/>
      <c r="F128" s="1183"/>
      <c r="G128" s="1184"/>
      <c r="H128" s="1183"/>
      <c r="I128" s="1183"/>
      <c r="J128" s="1183"/>
      <c r="K128" s="1183"/>
      <c r="L128" s="1183"/>
      <c r="M128" s="1183"/>
      <c r="N128" s="1183"/>
      <c r="O128" s="1183"/>
      <c r="P128" s="1183"/>
      <c r="Q128" s="1183"/>
      <c r="R128" s="1183"/>
      <c r="S128" s="1182"/>
      <c r="T128" s="1182"/>
    </row>
    <row r="129" spans="2:20" s="1003" customFormat="1" ht="24" x14ac:dyDescent="0.25">
      <c r="B129" s="1168" t="s">
        <v>3359</v>
      </c>
      <c r="C129" s="1168"/>
      <c r="D129" s="1168"/>
      <c r="E129" s="1168"/>
      <c r="F129" s="1168"/>
      <c r="G129" s="1169">
        <f>SUM(G130:G145)</f>
        <v>415850</v>
      </c>
      <c r="H129" s="1168"/>
      <c r="I129" s="1169">
        <f>SUM(I130:I145)</f>
        <v>735066</v>
      </c>
      <c r="J129" s="1168"/>
      <c r="K129" s="1169">
        <f>SUM(K130:K145)</f>
        <v>824700</v>
      </c>
      <c r="L129" s="1170"/>
      <c r="M129" s="1169">
        <f>SUM(M130:M145)</f>
        <v>890935</v>
      </c>
      <c r="N129" s="1170"/>
      <c r="O129" s="1169">
        <f>SUM(O130:O145)</f>
        <v>962981.75</v>
      </c>
      <c r="P129" s="1170"/>
      <c r="Q129" s="1169">
        <f>SUM(Q130:Q145)</f>
        <v>1041380.8374999999</v>
      </c>
      <c r="R129" s="1170"/>
      <c r="S129" s="1168"/>
      <c r="T129" s="1168"/>
    </row>
    <row r="130" spans="2:20" s="1003" customFormat="1" ht="63.75" x14ac:dyDescent="0.25">
      <c r="B130" s="1171" t="s">
        <v>36</v>
      </c>
      <c r="C130" s="1172" t="s">
        <v>1488</v>
      </c>
      <c r="D130" s="1172" t="s">
        <v>19</v>
      </c>
      <c r="E130" s="1173">
        <v>0</v>
      </c>
      <c r="F130" s="1172">
        <v>20</v>
      </c>
      <c r="G130" s="1173">
        <v>46000</v>
      </c>
      <c r="H130" s="1172">
        <v>20</v>
      </c>
      <c r="I130" s="1174">
        <v>50540</v>
      </c>
      <c r="J130" s="1172">
        <v>20</v>
      </c>
      <c r="K130" s="1175">
        <v>77000</v>
      </c>
      <c r="L130" s="1172">
        <v>20</v>
      </c>
      <c r="M130" s="1175">
        <f>105%*K130</f>
        <v>80850</v>
      </c>
      <c r="N130" s="1172">
        <v>20</v>
      </c>
      <c r="O130" s="1175">
        <f>105%*M130</f>
        <v>84892.5</v>
      </c>
      <c r="P130" s="1172">
        <v>20</v>
      </c>
      <c r="Q130" s="1175">
        <f>105%*O130</f>
        <v>89137.125</v>
      </c>
      <c r="R130" s="1172">
        <f t="shared" ref="R130:R144" si="12">H130+J130+L130+N130+P130</f>
        <v>100</v>
      </c>
      <c r="S130" s="1172" t="s">
        <v>3360</v>
      </c>
      <c r="T130" s="1172" t="s">
        <v>3360</v>
      </c>
    </row>
    <row r="131" spans="2:20" s="1003" customFormat="1" ht="60" x14ac:dyDescent="0.25">
      <c r="B131" s="1171" t="s">
        <v>65</v>
      </c>
      <c r="C131" s="1172" t="s">
        <v>3234</v>
      </c>
      <c r="D131" s="1172" t="s">
        <v>19</v>
      </c>
      <c r="E131" s="1173">
        <v>0</v>
      </c>
      <c r="F131" s="1172">
        <v>20</v>
      </c>
      <c r="G131" s="1173">
        <v>45350</v>
      </c>
      <c r="H131" s="1172">
        <v>20</v>
      </c>
      <c r="I131" s="2116">
        <v>32558</v>
      </c>
      <c r="J131" s="1172">
        <v>20</v>
      </c>
      <c r="K131" s="2119">
        <v>50000</v>
      </c>
      <c r="L131" s="1172">
        <v>20</v>
      </c>
      <c r="M131" s="2119">
        <f>105%*K131</f>
        <v>52500</v>
      </c>
      <c r="N131" s="1172">
        <v>20</v>
      </c>
      <c r="O131" s="2119">
        <f>105%*M131</f>
        <v>55125</v>
      </c>
      <c r="P131" s="1172">
        <v>20</v>
      </c>
      <c r="Q131" s="2119">
        <f>105%*O131</f>
        <v>57881.25</v>
      </c>
      <c r="R131" s="1172">
        <f t="shared" si="12"/>
        <v>100</v>
      </c>
      <c r="S131" s="1172" t="s">
        <v>3360</v>
      </c>
      <c r="T131" s="1172" t="s">
        <v>3360</v>
      </c>
    </row>
    <row r="132" spans="2:20" s="1003" customFormat="1" ht="38.25" x14ac:dyDescent="0.25">
      <c r="B132" s="1172"/>
      <c r="C132" s="1172" t="s">
        <v>3235</v>
      </c>
      <c r="D132" s="1172" t="s">
        <v>19</v>
      </c>
      <c r="E132" s="1173">
        <v>0</v>
      </c>
      <c r="F132" s="1172">
        <v>20</v>
      </c>
      <c r="G132" s="1173">
        <v>0</v>
      </c>
      <c r="H132" s="1172">
        <v>20</v>
      </c>
      <c r="I132" s="2118"/>
      <c r="J132" s="1172">
        <v>20</v>
      </c>
      <c r="K132" s="2120"/>
      <c r="L132" s="1172">
        <v>20</v>
      </c>
      <c r="M132" s="2120"/>
      <c r="N132" s="1172">
        <v>20</v>
      </c>
      <c r="O132" s="2120"/>
      <c r="P132" s="1172">
        <v>20</v>
      </c>
      <c r="Q132" s="2120"/>
      <c r="R132" s="1172">
        <f t="shared" si="12"/>
        <v>100</v>
      </c>
      <c r="S132" s="1172" t="s">
        <v>3360</v>
      </c>
      <c r="T132" s="1172" t="s">
        <v>3360</v>
      </c>
    </row>
    <row r="133" spans="2:20" s="1003" customFormat="1" ht="38.25" x14ac:dyDescent="0.25">
      <c r="B133" s="1171" t="s">
        <v>1180</v>
      </c>
      <c r="C133" s="1172" t="s">
        <v>3361</v>
      </c>
      <c r="D133" s="1172" t="s">
        <v>324</v>
      </c>
      <c r="E133" s="1173">
        <v>0</v>
      </c>
      <c r="F133" s="1173">
        <v>0</v>
      </c>
      <c r="G133" s="1173">
        <v>0</v>
      </c>
      <c r="H133" s="1172">
        <v>2</v>
      </c>
      <c r="I133" s="1174">
        <v>10000</v>
      </c>
      <c r="J133" s="1172">
        <v>2</v>
      </c>
      <c r="K133" s="1175">
        <v>8000</v>
      </c>
      <c r="L133" s="1172">
        <v>2</v>
      </c>
      <c r="M133" s="1175">
        <f>105%*K133</f>
        <v>8400</v>
      </c>
      <c r="N133" s="1172">
        <v>2</v>
      </c>
      <c r="O133" s="1175">
        <f>105%*M133</f>
        <v>8820</v>
      </c>
      <c r="P133" s="1172">
        <v>2</v>
      </c>
      <c r="Q133" s="1175">
        <f>105%*O133</f>
        <v>9261</v>
      </c>
      <c r="R133" s="1172">
        <f t="shared" si="12"/>
        <v>10</v>
      </c>
      <c r="S133" s="1172" t="s">
        <v>3360</v>
      </c>
      <c r="T133" s="1172" t="s">
        <v>3360</v>
      </c>
    </row>
    <row r="134" spans="2:20" s="1003" customFormat="1" ht="38.25" x14ac:dyDescent="0.25">
      <c r="B134" s="1171" t="s">
        <v>3302</v>
      </c>
      <c r="C134" s="1172" t="s">
        <v>3362</v>
      </c>
      <c r="D134" s="1172" t="s">
        <v>8</v>
      </c>
      <c r="E134" s="1173">
        <v>0</v>
      </c>
      <c r="F134" s="1173">
        <v>0</v>
      </c>
      <c r="G134" s="1173">
        <v>0</v>
      </c>
      <c r="H134" s="1172">
        <v>7</v>
      </c>
      <c r="I134" s="1174">
        <v>80268</v>
      </c>
      <c r="J134" s="1172">
        <v>7</v>
      </c>
      <c r="K134" s="1175">
        <v>34000</v>
      </c>
      <c r="L134" s="1172">
        <v>7</v>
      </c>
      <c r="M134" s="1175">
        <f>105%*K134</f>
        <v>35700</v>
      </c>
      <c r="N134" s="1172">
        <v>7</v>
      </c>
      <c r="O134" s="1175">
        <f>105%*M134</f>
        <v>37485</v>
      </c>
      <c r="P134" s="1172">
        <v>7</v>
      </c>
      <c r="Q134" s="1175">
        <f>105%*O134</f>
        <v>39359.25</v>
      </c>
      <c r="R134" s="1172">
        <f t="shared" si="12"/>
        <v>35</v>
      </c>
      <c r="S134" s="1172" t="s">
        <v>3360</v>
      </c>
      <c r="T134" s="1172" t="s">
        <v>3360</v>
      </c>
    </row>
    <row r="135" spans="2:20" s="1003" customFormat="1" ht="51" x14ac:dyDescent="0.25">
      <c r="B135" s="1171" t="s">
        <v>1548</v>
      </c>
      <c r="C135" s="1172" t="s">
        <v>3363</v>
      </c>
      <c r="D135" s="1172" t="s">
        <v>3311</v>
      </c>
      <c r="E135" s="1173">
        <v>0</v>
      </c>
      <c r="F135" s="1172">
        <v>6</v>
      </c>
      <c r="G135" s="1173">
        <v>300000</v>
      </c>
      <c r="H135" s="1172">
        <v>6</v>
      </c>
      <c r="I135" s="1174">
        <v>350000</v>
      </c>
      <c r="J135" s="1172">
        <v>6</v>
      </c>
      <c r="K135" s="1175">
        <v>500000</v>
      </c>
      <c r="L135" s="1172">
        <v>6</v>
      </c>
      <c r="M135" s="1175">
        <f>110%*K135</f>
        <v>550000</v>
      </c>
      <c r="N135" s="1172">
        <v>6</v>
      </c>
      <c r="O135" s="1175">
        <f>110%*M135</f>
        <v>605000</v>
      </c>
      <c r="P135" s="1172">
        <v>6</v>
      </c>
      <c r="Q135" s="1175">
        <f>110%*O135</f>
        <v>665500</v>
      </c>
      <c r="R135" s="1172">
        <f t="shared" si="12"/>
        <v>30</v>
      </c>
      <c r="S135" s="1172" t="s">
        <v>3360</v>
      </c>
      <c r="T135" s="1172" t="s">
        <v>3360</v>
      </c>
    </row>
    <row r="136" spans="2:20" s="1003" customFormat="1" ht="48" x14ac:dyDescent="0.25">
      <c r="B136" s="1171" t="s">
        <v>1619</v>
      </c>
      <c r="C136" s="1172" t="s">
        <v>3364</v>
      </c>
      <c r="D136" s="1172" t="s">
        <v>251</v>
      </c>
      <c r="E136" s="1173">
        <v>0</v>
      </c>
      <c r="F136" s="1173">
        <v>0</v>
      </c>
      <c r="G136" s="1173">
        <v>0</v>
      </c>
      <c r="H136" s="1172">
        <v>11</v>
      </c>
      <c r="I136" s="1174">
        <v>121000</v>
      </c>
      <c r="J136" s="1172">
        <v>7</v>
      </c>
      <c r="K136" s="1175">
        <v>80000</v>
      </c>
      <c r="L136" s="1172">
        <v>7</v>
      </c>
      <c r="M136" s="1175">
        <f t="shared" ref="M136:M141" si="13">105%*K136</f>
        <v>84000</v>
      </c>
      <c r="N136" s="1172">
        <v>8</v>
      </c>
      <c r="O136" s="1175">
        <f t="shared" ref="O136:O141" si="14">105%*M136</f>
        <v>88200</v>
      </c>
      <c r="P136" s="1172">
        <v>8</v>
      </c>
      <c r="Q136" s="1175">
        <f t="shared" ref="Q136:Q141" si="15">105%*O136</f>
        <v>92610</v>
      </c>
      <c r="R136" s="1172">
        <f t="shared" si="12"/>
        <v>41</v>
      </c>
      <c r="S136" s="1172" t="s">
        <v>3360</v>
      </c>
      <c r="T136" s="1172" t="s">
        <v>3360</v>
      </c>
    </row>
    <row r="137" spans="2:20" s="1003" customFormat="1" ht="48" x14ac:dyDescent="0.25">
      <c r="B137" s="1171" t="s">
        <v>3307</v>
      </c>
      <c r="C137" s="1172" t="s">
        <v>3365</v>
      </c>
      <c r="D137" s="1172" t="s">
        <v>427</v>
      </c>
      <c r="E137" s="1173">
        <v>0</v>
      </c>
      <c r="F137" s="1172">
        <v>60</v>
      </c>
      <c r="G137" s="1173">
        <v>6500</v>
      </c>
      <c r="H137" s="1172">
        <v>60</v>
      </c>
      <c r="I137" s="1174">
        <v>6500</v>
      </c>
      <c r="J137" s="1172">
        <v>60</v>
      </c>
      <c r="K137" s="1175">
        <v>7000</v>
      </c>
      <c r="L137" s="1172">
        <v>60</v>
      </c>
      <c r="M137" s="1175">
        <f t="shared" si="13"/>
        <v>7350</v>
      </c>
      <c r="N137" s="1172">
        <v>60</v>
      </c>
      <c r="O137" s="1175">
        <f t="shared" si="14"/>
        <v>7717.5</v>
      </c>
      <c r="P137" s="1172">
        <v>60</v>
      </c>
      <c r="Q137" s="1175">
        <f t="shared" si="15"/>
        <v>8103.375</v>
      </c>
      <c r="R137" s="1172">
        <f t="shared" si="12"/>
        <v>300</v>
      </c>
      <c r="S137" s="1172" t="s">
        <v>3360</v>
      </c>
      <c r="T137" s="1172" t="s">
        <v>3360</v>
      </c>
    </row>
    <row r="138" spans="2:20" s="1003" customFormat="1" ht="60" x14ac:dyDescent="0.25">
      <c r="B138" s="1171" t="s">
        <v>763</v>
      </c>
      <c r="C138" s="1172" t="s">
        <v>3366</v>
      </c>
      <c r="D138" s="1172" t="s">
        <v>1158</v>
      </c>
      <c r="E138" s="1173">
        <v>0</v>
      </c>
      <c r="F138" s="1172">
        <v>12</v>
      </c>
      <c r="G138" s="1173">
        <v>5000</v>
      </c>
      <c r="H138" s="1172">
        <v>12</v>
      </c>
      <c r="I138" s="1174">
        <v>8000</v>
      </c>
      <c r="J138" s="1172">
        <v>12</v>
      </c>
      <c r="K138" s="1175">
        <v>8500</v>
      </c>
      <c r="L138" s="1172">
        <v>12</v>
      </c>
      <c r="M138" s="1175">
        <f t="shared" si="13"/>
        <v>8925</v>
      </c>
      <c r="N138" s="1172">
        <v>12</v>
      </c>
      <c r="O138" s="1175">
        <f t="shared" si="14"/>
        <v>9371.25</v>
      </c>
      <c r="P138" s="1172">
        <v>12</v>
      </c>
      <c r="Q138" s="1175">
        <f t="shared" si="15"/>
        <v>9839.8125</v>
      </c>
      <c r="R138" s="1172">
        <f t="shared" si="12"/>
        <v>60</v>
      </c>
      <c r="S138" s="1172" t="s">
        <v>3360</v>
      </c>
      <c r="T138" s="1172" t="s">
        <v>3360</v>
      </c>
    </row>
    <row r="139" spans="2:20" s="1003" customFormat="1" ht="48" x14ac:dyDescent="0.25">
      <c r="B139" s="1171" t="s">
        <v>3367</v>
      </c>
      <c r="C139" s="1172" t="s">
        <v>3368</v>
      </c>
      <c r="D139" s="1172" t="s">
        <v>1158</v>
      </c>
      <c r="E139" s="1173">
        <v>0</v>
      </c>
      <c r="F139" s="1173">
        <v>0</v>
      </c>
      <c r="G139" s="1173">
        <v>0</v>
      </c>
      <c r="H139" s="1172">
        <v>11</v>
      </c>
      <c r="I139" s="1174">
        <v>24200</v>
      </c>
      <c r="J139" s="1172">
        <v>11</v>
      </c>
      <c r="K139" s="1175">
        <v>23100</v>
      </c>
      <c r="L139" s="1172">
        <v>11</v>
      </c>
      <c r="M139" s="1175">
        <f t="shared" si="13"/>
        <v>24255</v>
      </c>
      <c r="N139" s="1172">
        <v>11</v>
      </c>
      <c r="O139" s="1175">
        <f t="shared" si="14"/>
        <v>25467.75</v>
      </c>
      <c r="P139" s="1172">
        <v>11</v>
      </c>
      <c r="Q139" s="1175">
        <f t="shared" si="15"/>
        <v>26741.137500000001</v>
      </c>
      <c r="R139" s="1172">
        <f t="shared" si="12"/>
        <v>55</v>
      </c>
      <c r="S139" s="1172" t="s">
        <v>3360</v>
      </c>
      <c r="T139" s="1172" t="s">
        <v>3360</v>
      </c>
    </row>
    <row r="140" spans="2:20" s="1003" customFormat="1" ht="48" x14ac:dyDescent="0.25">
      <c r="B140" s="1171" t="s">
        <v>3312</v>
      </c>
      <c r="C140" s="1172" t="s">
        <v>3369</v>
      </c>
      <c r="D140" s="1172" t="s">
        <v>3311</v>
      </c>
      <c r="E140" s="1173">
        <v>0</v>
      </c>
      <c r="F140" s="1173">
        <v>0</v>
      </c>
      <c r="G140" s="1173">
        <v>0</v>
      </c>
      <c r="H140" s="1172">
        <v>6</v>
      </c>
      <c r="I140" s="1174">
        <v>6500</v>
      </c>
      <c r="J140" s="1172">
        <v>6</v>
      </c>
      <c r="K140" s="1175">
        <v>7000</v>
      </c>
      <c r="L140" s="1172">
        <v>6</v>
      </c>
      <c r="M140" s="1175">
        <f t="shared" si="13"/>
        <v>7350</v>
      </c>
      <c r="N140" s="1172">
        <v>6</v>
      </c>
      <c r="O140" s="1175">
        <f t="shared" si="14"/>
        <v>7717.5</v>
      </c>
      <c r="P140" s="1172">
        <v>6</v>
      </c>
      <c r="Q140" s="1175">
        <f t="shared" si="15"/>
        <v>8103.375</v>
      </c>
      <c r="R140" s="1172">
        <f t="shared" si="12"/>
        <v>30</v>
      </c>
      <c r="S140" s="1172" t="s">
        <v>3360</v>
      </c>
      <c r="T140" s="1172" t="s">
        <v>3360</v>
      </c>
    </row>
    <row r="141" spans="2:20" s="1003" customFormat="1" ht="60" x14ac:dyDescent="0.25">
      <c r="B141" s="1171" t="s">
        <v>424</v>
      </c>
      <c r="C141" s="1172" t="s">
        <v>3370</v>
      </c>
      <c r="D141" s="1172" t="s">
        <v>427</v>
      </c>
      <c r="E141" s="1173">
        <v>0</v>
      </c>
      <c r="F141" s="1172">
        <v>40</v>
      </c>
      <c r="G141" s="1173">
        <v>7000</v>
      </c>
      <c r="H141" s="1172">
        <v>40</v>
      </c>
      <c r="I141" s="1174">
        <v>25000</v>
      </c>
      <c r="J141" s="1172">
        <v>40</v>
      </c>
      <c r="K141" s="1175">
        <v>17500</v>
      </c>
      <c r="L141" s="1172">
        <v>40</v>
      </c>
      <c r="M141" s="1175">
        <f t="shared" si="13"/>
        <v>18375</v>
      </c>
      <c r="N141" s="1172">
        <v>40</v>
      </c>
      <c r="O141" s="1175">
        <f t="shared" si="14"/>
        <v>19293.75</v>
      </c>
      <c r="P141" s="1172">
        <v>40</v>
      </c>
      <c r="Q141" s="1175">
        <f t="shared" si="15"/>
        <v>20258.4375</v>
      </c>
      <c r="R141" s="1172">
        <f t="shared" si="12"/>
        <v>200</v>
      </c>
      <c r="S141" s="1172" t="s">
        <v>3360</v>
      </c>
      <c r="T141" s="1172" t="s">
        <v>3360</v>
      </c>
    </row>
    <row r="142" spans="2:20" s="1003" customFormat="1" ht="38.25" x14ac:dyDescent="0.25">
      <c r="B142" s="1172"/>
      <c r="C142" s="1172" t="s">
        <v>3371</v>
      </c>
      <c r="D142" s="1172" t="s">
        <v>610</v>
      </c>
      <c r="E142" s="1173">
        <v>0</v>
      </c>
      <c r="F142" s="1172">
        <v>40</v>
      </c>
      <c r="G142" s="1173">
        <f>95%*I142</f>
        <v>0</v>
      </c>
      <c r="H142" s="1172">
        <v>40</v>
      </c>
      <c r="I142" s="1174"/>
      <c r="J142" s="1172">
        <v>40</v>
      </c>
      <c r="K142" s="1175"/>
      <c r="L142" s="1172">
        <v>40</v>
      </c>
      <c r="M142" s="1175"/>
      <c r="N142" s="1172">
        <v>40</v>
      </c>
      <c r="O142" s="1175"/>
      <c r="P142" s="1172">
        <v>40</v>
      </c>
      <c r="Q142" s="1175"/>
      <c r="R142" s="1172">
        <f t="shared" si="12"/>
        <v>200</v>
      </c>
      <c r="S142" s="1172" t="s">
        <v>3360</v>
      </c>
      <c r="T142" s="1172" t="s">
        <v>3360</v>
      </c>
    </row>
    <row r="143" spans="2:20" s="1003" customFormat="1" ht="84" x14ac:dyDescent="0.25">
      <c r="B143" s="1171" t="s">
        <v>688</v>
      </c>
      <c r="C143" s="1172" t="s">
        <v>3372</v>
      </c>
      <c r="D143" s="1172" t="s">
        <v>282</v>
      </c>
      <c r="E143" s="1173">
        <v>0</v>
      </c>
      <c r="F143" s="1173">
        <v>0</v>
      </c>
      <c r="G143" s="1173">
        <v>0</v>
      </c>
      <c r="H143" s="1172">
        <v>4</v>
      </c>
      <c r="I143" s="1174">
        <v>14000</v>
      </c>
      <c r="J143" s="1172">
        <v>4</v>
      </c>
      <c r="K143" s="1175">
        <v>5600</v>
      </c>
      <c r="L143" s="1172">
        <v>4</v>
      </c>
      <c r="M143" s="1175">
        <f>105%*K143</f>
        <v>5880</v>
      </c>
      <c r="N143" s="1172">
        <v>4</v>
      </c>
      <c r="O143" s="1175">
        <f>105%*M143</f>
        <v>6174</v>
      </c>
      <c r="P143" s="1172">
        <v>4</v>
      </c>
      <c r="Q143" s="1175">
        <f>105%*O143</f>
        <v>6482.7000000000007</v>
      </c>
      <c r="R143" s="1172">
        <f t="shared" si="12"/>
        <v>20</v>
      </c>
      <c r="S143" s="1172" t="s">
        <v>3360</v>
      </c>
      <c r="T143" s="1172" t="s">
        <v>3360</v>
      </c>
    </row>
    <row r="144" spans="2:20" s="1003" customFormat="1" ht="60" x14ac:dyDescent="0.25">
      <c r="B144" s="1171" t="s">
        <v>1786</v>
      </c>
      <c r="C144" s="1172" t="s">
        <v>3373</v>
      </c>
      <c r="D144" s="1172" t="s">
        <v>3311</v>
      </c>
      <c r="E144" s="1173">
        <v>0</v>
      </c>
      <c r="F144" s="1172">
        <v>6</v>
      </c>
      <c r="G144" s="1173">
        <v>6000</v>
      </c>
      <c r="H144" s="1172">
        <v>6</v>
      </c>
      <c r="I144" s="1174">
        <v>6500</v>
      </c>
      <c r="J144" s="1172">
        <v>6</v>
      </c>
      <c r="K144" s="1175">
        <v>7000</v>
      </c>
      <c r="L144" s="1172">
        <v>6</v>
      </c>
      <c r="M144" s="1175">
        <f>105%*K144</f>
        <v>7350</v>
      </c>
      <c r="N144" s="1172">
        <v>6</v>
      </c>
      <c r="O144" s="1175">
        <f>105%*M144</f>
        <v>7717.5</v>
      </c>
      <c r="P144" s="1172">
        <v>6</v>
      </c>
      <c r="Q144" s="1175">
        <f>105%*O144</f>
        <v>8103.375</v>
      </c>
      <c r="R144" s="1172">
        <f t="shared" si="12"/>
        <v>30</v>
      </c>
      <c r="S144" s="1172" t="s">
        <v>3360</v>
      </c>
      <c r="T144" s="1172" t="s">
        <v>3360</v>
      </c>
    </row>
    <row r="145" spans="2:20" s="1003" customFormat="1" x14ac:dyDescent="0.25">
      <c r="B145" s="1182"/>
      <c r="C145" s="1182"/>
      <c r="D145" s="1182"/>
      <c r="E145" s="1183"/>
      <c r="F145" s="1183"/>
      <c r="G145" s="1184"/>
      <c r="H145" s="1183"/>
      <c r="I145" s="1183"/>
      <c r="J145" s="1183"/>
      <c r="K145" s="1183"/>
      <c r="L145" s="1183"/>
      <c r="M145" s="1183"/>
      <c r="N145" s="1183"/>
      <c r="O145" s="1183"/>
      <c r="P145" s="1183"/>
      <c r="Q145" s="1183"/>
      <c r="R145" s="1183"/>
      <c r="S145" s="1182"/>
      <c r="T145" s="1182"/>
    </row>
    <row r="146" spans="2:20" s="1003" customFormat="1" x14ac:dyDescent="0.25">
      <c r="B146" s="1186" t="s">
        <v>3374</v>
      </c>
      <c r="C146" s="1100"/>
      <c r="D146" s="1000"/>
      <c r="E146" s="1001"/>
      <c r="F146" s="1001"/>
      <c r="G146" s="1001"/>
      <c r="H146" s="1001"/>
      <c r="I146" s="1001"/>
      <c r="J146" s="1001"/>
      <c r="K146" s="1001"/>
      <c r="L146" s="1001"/>
      <c r="M146" s="1001"/>
      <c r="N146" s="1001"/>
      <c r="O146" s="1001"/>
      <c r="P146" s="1001"/>
      <c r="Q146" s="1001"/>
      <c r="R146" s="1001"/>
      <c r="S146" s="1004"/>
      <c r="T146" s="1004"/>
    </row>
    <row r="147" spans="2:20" s="1014" customFormat="1" ht="25.5" customHeight="1" x14ac:dyDescent="0.25">
      <c r="B147" s="1007"/>
      <c r="C147" s="999" t="s">
        <v>3375</v>
      </c>
      <c r="D147" s="1015" t="s">
        <v>19</v>
      </c>
      <c r="E147" s="999">
        <v>100</v>
      </c>
      <c r="F147" s="999">
        <v>20</v>
      </c>
      <c r="G147" s="999"/>
      <c r="H147" s="999">
        <v>20</v>
      </c>
      <c r="I147" s="999"/>
      <c r="J147" s="999">
        <v>20</v>
      </c>
      <c r="K147" s="999"/>
      <c r="L147" s="999">
        <v>20</v>
      </c>
      <c r="M147" s="999"/>
      <c r="N147" s="999">
        <v>20</v>
      </c>
      <c r="O147" s="999"/>
      <c r="P147" s="999">
        <v>20</v>
      </c>
      <c r="Q147" s="999"/>
      <c r="R147" s="999">
        <f>F147+H147+J147+L147+N147</f>
        <v>100</v>
      </c>
      <c r="S147" s="1016"/>
      <c r="T147" s="1016"/>
    </row>
    <row r="148" spans="2:20" s="1014" customFormat="1" ht="63.75" x14ac:dyDescent="0.25">
      <c r="B148" s="1064" t="s">
        <v>121</v>
      </c>
      <c r="C148" s="999" t="s">
        <v>3376</v>
      </c>
      <c r="D148" s="1015" t="s">
        <v>19</v>
      </c>
      <c r="E148" s="999">
        <v>100</v>
      </c>
      <c r="F148" s="999">
        <v>20</v>
      </c>
      <c r="G148" s="1017">
        <f>SUM(G149:G160)</f>
        <v>81590</v>
      </c>
      <c r="H148" s="999">
        <v>20</v>
      </c>
      <c r="I148" s="1017">
        <f>G148+G148/100*10</f>
        <v>89749</v>
      </c>
      <c r="J148" s="999">
        <v>20</v>
      </c>
      <c r="K148" s="1017">
        <f>I148+I148/100*10</f>
        <v>98723.9</v>
      </c>
      <c r="L148" s="999">
        <v>20</v>
      </c>
      <c r="M148" s="1017">
        <f>K148+K148/100*10</f>
        <v>108596.29</v>
      </c>
      <c r="N148" s="999">
        <v>20</v>
      </c>
      <c r="O148" s="1017">
        <f>M148+M148/100*10</f>
        <v>119455.91899999999</v>
      </c>
      <c r="P148" s="999">
        <v>20</v>
      </c>
      <c r="Q148" s="1017">
        <f>O148+O148/100*10</f>
        <v>131401.51089999999</v>
      </c>
      <c r="R148" s="999">
        <f>F148+H148+J148+L148+N148</f>
        <v>100</v>
      </c>
      <c r="S148" s="1016"/>
      <c r="T148" s="1016"/>
    </row>
    <row r="149" spans="2:20" s="1014" customFormat="1" ht="25.5" x14ac:dyDescent="0.25">
      <c r="B149" s="1007" t="s">
        <v>124</v>
      </c>
      <c r="C149" s="999" t="s">
        <v>2954</v>
      </c>
      <c r="D149" s="1015" t="s">
        <v>40</v>
      </c>
      <c r="E149" s="999">
        <v>12</v>
      </c>
      <c r="F149" s="999">
        <v>12</v>
      </c>
      <c r="G149" s="1017">
        <v>2480</v>
      </c>
      <c r="H149" s="999">
        <v>12</v>
      </c>
      <c r="I149" s="1017">
        <f t="shared" ref="I149:I187" si="16">G149+G149/100*10</f>
        <v>2728</v>
      </c>
      <c r="J149" s="999">
        <v>12</v>
      </c>
      <c r="K149" s="1017">
        <f t="shared" ref="K149:K160" si="17">I149+I149/100*10</f>
        <v>3000.8</v>
      </c>
      <c r="L149" s="999">
        <v>12</v>
      </c>
      <c r="M149" s="1017">
        <f t="shared" ref="M149:M187" si="18">K149+K149/100*10</f>
        <v>3300.88</v>
      </c>
      <c r="N149" s="999">
        <v>12</v>
      </c>
      <c r="O149" s="1017">
        <f t="shared" ref="O149:O187" si="19">M149+M149/100*10</f>
        <v>3630.9680000000003</v>
      </c>
      <c r="P149" s="999">
        <v>12</v>
      </c>
      <c r="Q149" s="1017">
        <f t="shared" ref="Q149:Q187" si="20">O149+O149/100*10</f>
        <v>3994.0648000000001</v>
      </c>
      <c r="R149" s="1017">
        <f t="shared" ref="R149:R187" si="21">F149+H149+J149+L149+N149</f>
        <v>60</v>
      </c>
      <c r="S149" s="1016"/>
      <c r="T149" s="1016"/>
    </row>
    <row r="150" spans="2:20" s="1014" customFormat="1" ht="51" x14ac:dyDescent="0.25">
      <c r="B150" s="1007" t="s">
        <v>126</v>
      </c>
      <c r="C150" s="999" t="s">
        <v>2955</v>
      </c>
      <c r="D150" s="1015" t="s">
        <v>40</v>
      </c>
      <c r="E150" s="999">
        <v>12</v>
      </c>
      <c r="F150" s="999">
        <v>12</v>
      </c>
      <c r="G150" s="1017">
        <v>10903</v>
      </c>
      <c r="H150" s="999">
        <v>12</v>
      </c>
      <c r="I150" s="1017">
        <f t="shared" si="16"/>
        <v>11993.3</v>
      </c>
      <c r="J150" s="999">
        <v>12</v>
      </c>
      <c r="K150" s="1017">
        <f t="shared" si="17"/>
        <v>13192.63</v>
      </c>
      <c r="L150" s="999">
        <v>12</v>
      </c>
      <c r="M150" s="1017">
        <f t="shared" si="18"/>
        <v>14511.893</v>
      </c>
      <c r="N150" s="999">
        <v>12</v>
      </c>
      <c r="O150" s="1017">
        <f t="shared" si="19"/>
        <v>15963.0823</v>
      </c>
      <c r="P150" s="999">
        <v>12</v>
      </c>
      <c r="Q150" s="1017">
        <f t="shared" si="20"/>
        <v>17559.390530000001</v>
      </c>
      <c r="R150" s="1017">
        <f t="shared" si="21"/>
        <v>60</v>
      </c>
      <c r="S150" s="1016"/>
      <c r="T150" s="1016"/>
    </row>
    <row r="151" spans="2:20" s="1014" customFormat="1" ht="89.25" x14ac:dyDescent="0.25">
      <c r="B151" s="1007" t="s">
        <v>43</v>
      </c>
      <c r="C151" s="999" t="s">
        <v>2956</v>
      </c>
      <c r="D151" s="1015" t="s">
        <v>40</v>
      </c>
      <c r="E151" s="999">
        <v>12</v>
      </c>
      <c r="F151" s="999">
        <v>12</v>
      </c>
      <c r="G151" s="1017">
        <v>17907</v>
      </c>
      <c r="H151" s="999">
        <v>12</v>
      </c>
      <c r="I151" s="1017">
        <f t="shared" si="16"/>
        <v>19697.7</v>
      </c>
      <c r="J151" s="999">
        <v>12</v>
      </c>
      <c r="K151" s="1017">
        <f t="shared" si="17"/>
        <v>21667.47</v>
      </c>
      <c r="L151" s="999">
        <v>12</v>
      </c>
      <c r="M151" s="1017">
        <f t="shared" si="18"/>
        <v>23834.217000000001</v>
      </c>
      <c r="N151" s="999">
        <v>12</v>
      </c>
      <c r="O151" s="1017">
        <f t="shared" si="19"/>
        <v>26217.6387</v>
      </c>
      <c r="P151" s="999">
        <v>12</v>
      </c>
      <c r="Q151" s="1017">
        <f t="shared" si="20"/>
        <v>28839.402569999998</v>
      </c>
      <c r="R151" s="1017">
        <f t="shared" si="21"/>
        <v>60</v>
      </c>
      <c r="S151" s="1016"/>
      <c r="T151" s="1016"/>
    </row>
    <row r="152" spans="2:20" s="1014" customFormat="1" ht="127.5" x14ac:dyDescent="0.25">
      <c r="B152" s="1007" t="s">
        <v>45</v>
      </c>
      <c r="C152" s="999" t="s">
        <v>2957</v>
      </c>
      <c r="D152" s="1015" t="s">
        <v>40</v>
      </c>
      <c r="E152" s="999">
        <v>12</v>
      </c>
      <c r="F152" s="999">
        <v>12</v>
      </c>
      <c r="G152" s="1017">
        <v>14500</v>
      </c>
      <c r="H152" s="999">
        <v>12</v>
      </c>
      <c r="I152" s="1017">
        <f t="shared" si="16"/>
        <v>15950</v>
      </c>
      <c r="J152" s="999">
        <v>12</v>
      </c>
      <c r="K152" s="1017">
        <f t="shared" si="17"/>
        <v>17545</v>
      </c>
      <c r="L152" s="999">
        <v>12</v>
      </c>
      <c r="M152" s="1017">
        <f t="shared" si="18"/>
        <v>19299.5</v>
      </c>
      <c r="N152" s="999">
        <v>12</v>
      </c>
      <c r="O152" s="1017">
        <f t="shared" si="19"/>
        <v>21229.45</v>
      </c>
      <c r="P152" s="999">
        <v>12</v>
      </c>
      <c r="Q152" s="1017">
        <f t="shared" si="20"/>
        <v>23352.395</v>
      </c>
      <c r="R152" s="1017">
        <f t="shared" si="21"/>
        <v>60</v>
      </c>
      <c r="S152" s="1016"/>
      <c r="T152" s="1016"/>
    </row>
    <row r="153" spans="2:20" s="1014" customFormat="1" ht="38.25" x14ac:dyDescent="0.25">
      <c r="B153" s="1007" t="s">
        <v>47</v>
      </c>
      <c r="C153" s="999" t="s">
        <v>129</v>
      </c>
      <c r="D153" s="1015" t="s">
        <v>40</v>
      </c>
      <c r="E153" s="999">
        <v>12</v>
      </c>
      <c r="F153" s="999">
        <v>12</v>
      </c>
      <c r="G153" s="1017">
        <v>4600</v>
      </c>
      <c r="H153" s="999">
        <v>12</v>
      </c>
      <c r="I153" s="1017">
        <f t="shared" si="16"/>
        <v>5060</v>
      </c>
      <c r="J153" s="999">
        <v>12</v>
      </c>
      <c r="K153" s="1017">
        <f t="shared" si="17"/>
        <v>5566</v>
      </c>
      <c r="L153" s="999">
        <v>12</v>
      </c>
      <c r="M153" s="1017">
        <f t="shared" si="18"/>
        <v>6122.6</v>
      </c>
      <c r="N153" s="999">
        <v>12</v>
      </c>
      <c r="O153" s="1017">
        <f t="shared" si="19"/>
        <v>6734.8600000000006</v>
      </c>
      <c r="P153" s="999">
        <v>12</v>
      </c>
      <c r="Q153" s="1017">
        <f t="shared" si="20"/>
        <v>7408.3460000000005</v>
      </c>
      <c r="R153" s="1017">
        <f t="shared" si="21"/>
        <v>60</v>
      </c>
      <c r="S153" s="1016"/>
      <c r="T153" s="1016"/>
    </row>
    <row r="154" spans="2:20" s="1014" customFormat="1" ht="38.25" x14ac:dyDescent="0.25">
      <c r="B154" s="1007" t="s">
        <v>130</v>
      </c>
      <c r="C154" s="999" t="s">
        <v>2958</v>
      </c>
      <c r="D154" s="1015" t="s">
        <v>40</v>
      </c>
      <c r="E154" s="999">
        <v>12</v>
      </c>
      <c r="F154" s="999">
        <v>12</v>
      </c>
      <c r="G154" s="1017">
        <v>6500</v>
      </c>
      <c r="H154" s="999">
        <v>12</v>
      </c>
      <c r="I154" s="1017">
        <f t="shared" si="16"/>
        <v>7150</v>
      </c>
      <c r="J154" s="999">
        <v>12</v>
      </c>
      <c r="K154" s="1017">
        <f t="shared" si="17"/>
        <v>7865</v>
      </c>
      <c r="L154" s="999">
        <v>12</v>
      </c>
      <c r="M154" s="1017">
        <f t="shared" si="18"/>
        <v>8651.5</v>
      </c>
      <c r="N154" s="999">
        <v>12</v>
      </c>
      <c r="O154" s="1017">
        <f t="shared" si="19"/>
        <v>9516.65</v>
      </c>
      <c r="P154" s="999">
        <v>12</v>
      </c>
      <c r="Q154" s="1017">
        <f t="shared" si="20"/>
        <v>10468.314999999999</v>
      </c>
      <c r="R154" s="1017">
        <f t="shared" si="21"/>
        <v>60</v>
      </c>
      <c r="S154" s="1016"/>
      <c r="T154" s="1016"/>
    </row>
    <row r="155" spans="2:20" s="1014" customFormat="1" ht="25.5" x14ac:dyDescent="0.25">
      <c r="B155" s="1007" t="s">
        <v>50</v>
      </c>
      <c r="C155" s="999" t="s">
        <v>51</v>
      </c>
      <c r="D155" s="1015" t="s">
        <v>40</v>
      </c>
      <c r="E155" s="999">
        <v>12</v>
      </c>
      <c r="F155" s="999">
        <v>12</v>
      </c>
      <c r="G155" s="1017">
        <v>5500</v>
      </c>
      <c r="H155" s="999">
        <v>12</v>
      </c>
      <c r="I155" s="1017">
        <f t="shared" si="16"/>
        <v>6050</v>
      </c>
      <c r="J155" s="999">
        <v>12</v>
      </c>
      <c r="K155" s="1017">
        <f t="shared" si="17"/>
        <v>6655</v>
      </c>
      <c r="L155" s="999">
        <v>12</v>
      </c>
      <c r="M155" s="1017">
        <f t="shared" si="18"/>
        <v>7320.5</v>
      </c>
      <c r="N155" s="999">
        <v>12</v>
      </c>
      <c r="O155" s="1017">
        <f t="shared" si="19"/>
        <v>8052.55</v>
      </c>
      <c r="P155" s="999">
        <v>12</v>
      </c>
      <c r="Q155" s="1017">
        <f t="shared" si="20"/>
        <v>8857.8050000000003</v>
      </c>
      <c r="R155" s="1017">
        <f t="shared" si="21"/>
        <v>60</v>
      </c>
      <c r="S155" s="1016"/>
      <c r="T155" s="1016"/>
    </row>
    <row r="156" spans="2:20" s="1014" customFormat="1" ht="51" x14ac:dyDescent="0.25">
      <c r="B156" s="1007" t="s">
        <v>52</v>
      </c>
      <c r="C156" s="999" t="s">
        <v>2959</v>
      </c>
      <c r="D156" s="1015" t="s">
        <v>40</v>
      </c>
      <c r="E156" s="999">
        <v>12</v>
      </c>
      <c r="F156" s="999">
        <v>12</v>
      </c>
      <c r="G156" s="1017">
        <v>3000</v>
      </c>
      <c r="H156" s="999">
        <v>12</v>
      </c>
      <c r="I156" s="1017">
        <f t="shared" si="16"/>
        <v>3300</v>
      </c>
      <c r="J156" s="999">
        <v>12</v>
      </c>
      <c r="K156" s="1017">
        <f t="shared" si="17"/>
        <v>3630</v>
      </c>
      <c r="L156" s="999">
        <v>12</v>
      </c>
      <c r="M156" s="1017">
        <f t="shared" si="18"/>
        <v>3993</v>
      </c>
      <c r="N156" s="999">
        <v>12</v>
      </c>
      <c r="O156" s="1017">
        <f t="shared" si="19"/>
        <v>4392.3</v>
      </c>
      <c r="P156" s="999">
        <v>12</v>
      </c>
      <c r="Q156" s="1017">
        <f t="shared" si="20"/>
        <v>4831.5300000000007</v>
      </c>
      <c r="R156" s="1017">
        <f t="shared" si="21"/>
        <v>60</v>
      </c>
      <c r="S156" s="1016"/>
      <c r="T156" s="1016"/>
    </row>
    <row r="157" spans="2:20" s="1014" customFormat="1" ht="76.5" x14ac:dyDescent="0.25">
      <c r="B157" s="1007" t="s">
        <v>54</v>
      </c>
      <c r="C157" s="999" t="s">
        <v>2960</v>
      </c>
      <c r="D157" s="1015" t="s">
        <v>40</v>
      </c>
      <c r="E157" s="999">
        <v>12</v>
      </c>
      <c r="F157" s="999">
        <v>12</v>
      </c>
      <c r="G157" s="1017">
        <v>3000</v>
      </c>
      <c r="H157" s="999">
        <v>12</v>
      </c>
      <c r="I157" s="1017">
        <f t="shared" si="16"/>
        <v>3300</v>
      </c>
      <c r="J157" s="999">
        <v>12</v>
      </c>
      <c r="K157" s="1017">
        <f t="shared" si="17"/>
        <v>3630</v>
      </c>
      <c r="L157" s="999">
        <v>12</v>
      </c>
      <c r="M157" s="1017">
        <f t="shared" si="18"/>
        <v>3993</v>
      </c>
      <c r="N157" s="999">
        <v>12</v>
      </c>
      <c r="O157" s="1017">
        <f t="shared" si="19"/>
        <v>4392.3</v>
      </c>
      <c r="P157" s="999">
        <v>12</v>
      </c>
      <c r="Q157" s="1017">
        <f t="shared" si="20"/>
        <v>4831.5300000000007</v>
      </c>
      <c r="R157" s="1017">
        <f t="shared" si="21"/>
        <v>60</v>
      </c>
      <c r="S157" s="1016"/>
      <c r="T157" s="1016"/>
    </row>
    <row r="158" spans="2:20" s="1014" customFormat="1" ht="63.75" x14ac:dyDescent="0.25">
      <c r="B158" s="1007" t="s">
        <v>56</v>
      </c>
      <c r="C158" s="999" t="s">
        <v>57</v>
      </c>
      <c r="D158" s="1015" t="s">
        <v>40</v>
      </c>
      <c r="E158" s="999">
        <v>12</v>
      </c>
      <c r="F158" s="999">
        <v>12</v>
      </c>
      <c r="G158" s="1017">
        <v>1200</v>
      </c>
      <c r="H158" s="999">
        <v>12</v>
      </c>
      <c r="I158" s="1017">
        <f t="shared" si="16"/>
        <v>1320</v>
      </c>
      <c r="J158" s="999">
        <v>12</v>
      </c>
      <c r="K158" s="1017">
        <f t="shared" si="17"/>
        <v>1452</v>
      </c>
      <c r="L158" s="999">
        <v>12</v>
      </c>
      <c r="M158" s="1017">
        <f t="shared" si="18"/>
        <v>1597.2</v>
      </c>
      <c r="N158" s="999">
        <v>12</v>
      </c>
      <c r="O158" s="1017">
        <f t="shared" si="19"/>
        <v>1756.92</v>
      </c>
      <c r="P158" s="999">
        <v>12</v>
      </c>
      <c r="Q158" s="1017">
        <f t="shared" si="20"/>
        <v>1932.6120000000001</v>
      </c>
      <c r="R158" s="1017">
        <f t="shared" si="21"/>
        <v>60</v>
      </c>
      <c r="S158" s="1016"/>
      <c r="T158" s="1016"/>
    </row>
    <row r="159" spans="2:20" s="1014" customFormat="1" ht="51" x14ac:dyDescent="0.25">
      <c r="B159" s="1007" t="s">
        <v>58</v>
      </c>
      <c r="C159" s="999" t="s">
        <v>2961</v>
      </c>
      <c r="D159" s="1015" t="s">
        <v>40</v>
      </c>
      <c r="E159" s="999">
        <v>12</v>
      </c>
      <c r="F159" s="999">
        <v>12</v>
      </c>
      <c r="G159" s="1017">
        <v>7000</v>
      </c>
      <c r="H159" s="999">
        <v>12</v>
      </c>
      <c r="I159" s="1017">
        <f t="shared" si="16"/>
        <v>7700</v>
      </c>
      <c r="J159" s="999">
        <v>12</v>
      </c>
      <c r="K159" s="1017">
        <f t="shared" si="17"/>
        <v>8470</v>
      </c>
      <c r="L159" s="999">
        <v>12</v>
      </c>
      <c r="M159" s="1017">
        <f t="shared" si="18"/>
        <v>9317</v>
      </c>
      <c r="N159" s="999">
        <v>12</v>
      </c>
      <c r="O159" s="1017">
        <f t="shared" si="19"/>
        <v>10248.700000000001</v>
      </c>
      <c r="P159" s="999">
        <v>12</v>
      </c>
      <c r="Q159" s="1017">
        <f t="shared" si="20"/>
        <v>11273.570000000002</v>
      </c>
      <c r="R159" s="1017">
        <f t="shared" si="21"/>
        <v>60</v>
      </c>
      <c r="S159" s="1016"/>
      <c r="T159" s="1016"/>
    </row>
    <row r="160" spans="2:20" s="1014" customFormat="1" ht="51" x14ac:dyDescent="0.25">
      <c r="B160" s="1007" t="s">
        <v>139</v>
      </c>
      <c r="C160" s="999" t="s">
        <v>140</v>
      </c>
      <c r="D160" s="1015" t="s">
        <v>40</v>
      </c>
      <c r="E160" s="999">
        <v>12</v>
      </c>
      <c r="F160" s="999">
        <v>12</v>
      </c>
      <c r="G160" s="1017">
        <v>5000</v>
      </c>
      <c r="H160" s="999">
        <v>12</v>
      </c>
      <c r="I160" s="1017">
        <f t="shared" si="16"/>
        <v>5500</v>
      </c>
      <c r="J160" s="999">
        <v>12</v>
      </c>
      <c r="K160" s="1017">
        <f t="shared" si="17"/>
        <v>6050</v>
      </c>
      <c r="L160" s="999">
        <v>12</v>
      </c>
      <c r="M160" s="1017">
        <f t="shared" si="18"/>
        <v>6655</v>
      </c>
      <c r="N160" s="999">
        <v>12</v>
      </c>
      <c r="O160" s="1017">
        <f t="shared" si="19"/>
        <v>7320.5</v>
      </c>
      <c r="P160" s="999">
        <v>12</v>
      </c>
      <c r="Q160" s="1017">
        <f t="shared" si="20"/>
        <v>8052.55</v>
      </c>
      <c r="R160" s="1017">
        <f t="shared" si="21"/>
        <v>60</v>
      </c>
      <c r="S160" s="1016"/>
      <c r="T160" s="1016"/>
    </row>
    <row r="161" spans="2:20" s="1014" customFormat="1" ht="60" x14ac:dyDescent="0.25">
      <c r="B161" s="1064" t="s">
        <v>65</v>
      </c>
      <c r="C161" s="999" t="s">
        <v>1498</v>
      </c>
      <c r="D161" s="1015" t="s">
        <v>19</v>
      </c>
      <c r="E161" s="999">
        <v>100</v>
      </c>
      <c r="F161" s="999">
        <v>20</v>
      </c>
      <c r="G161" s="1017">
        <f>SUM(G162:G163)</f>
        <v>28000</v>
      </c>
      <c r="H161" s="1018">
        <v>20</v>
      </c>
      <c r="I161" s="1017">
        <f t="shared" si="16"/>
        <v>30800</v>
      </c>
      <c r="J161" s="1018">
        <v>20</v>
      </c>
      <c r="K161" s="1017">
        <f>SUM(K162:K163)</f>
        <v>73880</v>
      </c>
      <c r="L161" s="1018">
        <v>20</v>
      </c>
      <c r="M161" s="1017">
        <f t="shared" si="18"/>
        <v>81268</v>
      </c>
      <c r="N161" s="1018">
        <v>20</v>
      </c>
      <c r="O161" s="1017">
        <f t="shared" si="19"/>
        <v>89394.8</v>
      </c>
      <c r="P161" s="1018">
        <v>20</v>
      </c>
      <c r="Q161" s="1017">
        <f t="shared" si="20"/>
        <v>98334.28</v>
      </c>
      <c r="R161" s="1017">
        <f t="shared" si="21"/>
        <v>100</v>
      </c>
      <c r="S161" s="1019"/>
      <c r="T161" s="1019"/>
    </row>
    <row r="162" spans="2:20" s="1014" customFormat="1" ht="51" x14ac:dyDescent="0.25">
      <c r="B162" s="1007" t="s">
        <v>142</v>
      </c>
      <c r="C162" s="999" t="s">
        <v>143</v>
      </c>
      <c r="D162" s="1015" t="s">
        <v>75</v>
      </c>
      <c r="E162" s="999"/>
      <c r="F162" s="999">
        <v>0</v>
      </c>
      <c r="G162" s="1017">
        <v>0</v>
      </c>
      <c r="H162" s="999">
        <v>0</v>
      </c>
      <c r="I162" s="1017">
        <f t="shared" si="16"/>
        <v>0</v>
      </c>
      <c r="J162" s="999">
        <v>2</v>
      </c>
      <c r="K162" s="1017">
        <v>40000</v>
      </c>
      <c r="L162" s="999">
        <v>2</v>
      </c>
      <c r="M162" s="1017">
        <f t="shared" si="18"/>
        <v>44000</v>
      </c>
      <c r="N162" s="999">
        <v>2</v>
      </c>
      <c r="O162" s="1017">
        <f t="shared" si="19"/>
        <v>48400</v>
      </c>
      <c r="P162" s="999">
        <v>2</v>
      </c>
      <c r="Q162" s="1017">
        <f t="shared" si="20"/>
        <v>53240</v>
      </c>
      <c r="R162" s="1017">
        <f t="shared" si="21"/>
        <v>6</v>
      </c>
      <c r="S162" s="1016"/>
      <c r="T162" s="1016"/>
    </row>
    <row r="163" spans="2:20" s="1014" customFormat="1" ht="51" x14ac:dyDescent="0.25">
      <c r="B163" s="1007" t="s">
        <v>164</v>
      </c>
      <c r="C163" s="999" t="s">
        <v>2963</v>
      </c>
      <c r="D163" s="1015" t="s">
        <v>3377</v>
      </c>
      <c r="E163" s="999"/>
      <c r="F163" s="999">
        <v>8</v>
      </c>
      <c r="G163" s="1017">
        <v>28000</v>
      </c>
      <c r="H163" s="999">
        <v>8</v>
      </c>
      <c r="I163" s="1017">
        <f t="shared" si="16"/>
        <v>30800</v>
      </c>
      <c r="J163" s="999">
        <v>8</v>
      </c>
      <c r="K163" s="1017">
        <f>I163+I163/100*10</f>
        <v>33880</v>
      </c>
      <c r="L163" s="999">
        <v>8</v>
      </c>
      <c r="M163" s="1017">
        <f t="shared" si="18"/>
        <v>37268</v>
      </c>
      <c r="N163" s="999">
        <v>8</v>
      </c>
      <c r="O163" s="1017">
        <f t="shared" si="19"/>
        <v>40994.800000000003</v>
      </c>
      <c r="P163" s="999">
        <v>8</v>
      </c>
      <c r="Q163" s="1017">
        <f t="shared" si="20"/>
        <v>45094.280000000006</v>
      </c>
      <c r="R163" s="1017">
        <f t="shared" si="21"/>
        <v>40</v>
      </c>
      <c r="S163" s="1016"/>
      <c r="T163" s="1016"/>
    </row>
    <row r="164" spans="2:20" s="1014" customFormat="1" ht="51" x14ac:dyDescent="0.25">
      <c r="B164" s="1064" t="s">
        <v>77</v>
      </c>
      <c r="C164" s="999" t="s">
        <v>78</v>
      </c>
      <c r="D164" s="1015" t="s">
        <v>19</v>
      </c>
      <c r="E164" s="1020">
        <v>100</v>
      </c>
      <c r="F164" s="1020">
        <v>20</v>
      </c>
      <c r="G164" s="1001">
        <f>SUM(G165)</f>
        <v>7500</v>
      </c>
      <c r="H164" s="1020">
        <v>20</v>
      </c>
      <c r="I164" s="1017">
        <f t="shared" si="16"/>
        <v>8250</v>
      </c>
      <c r="J164" s="1020">
        <v>20</v>
      </c>
      <c r="K164" s="1017">
        <f t="shared" ref="K164:K187" si="22">I164+I164/100*10</f>
        <v>9075</v>
      </c>
      <c r="L164" s="1020">
        <v>20</v>
      </c>
      <c r="M164" s="1017">
        <f t="shared" si="18"/>
        <v>9982.5</v>
      </c>
      <c r="N164" s="1020">
        <v>20</v>
      </c>
      <c r="O164" s="1017">
        <f t="shared" si="19"/>
        <v>10980.75</v>
      </c>
      <c r="P164" s="1020">
        <v>20</v>
      </c>
      <c r="Q164" s="1017">
        <f t="shared" si="20"/>
        <v>12078.825000000001</v>
      </c>
      <c r="R164" s="1017">
        <f t="shared" si="21"/>
        <v>100</v>
      </c>
      <c r="S164" s="1016"/>
      <c r="T164" s="1016"/>
    </row>
    <row r="165" spans="2:20" s="1014" customFormat="1" ht="102" x14ac:dyDescent="0.25">
      <c r="B165" s="1007" t="s">
        <v>80</v>
      </c>
      <c r="C165" s="999" t="s">
        <v>3378</v>
      </c>
      <c r="D165" s="1015" t="s">
        <v>79</v>
      </c>
      <c r="E165" s="1020"/>
      <c r="F165" s="1020">
        <v>5</v>
      </c>
      <c r="G165" s="1017">
        <v>7500</v>
      </c>
      <c r="H165" s="1020">
        <v>5</v>
      </c>
      <c r="I165" s="1017">
        <f t="shared" si="16"/>
        <v>8250</v>
      </c>
      <c r="J165" s="1020">
        <v>5</v>
      </c>
      <c r="K165" s="1017">
        <f t="shared" si="22"/>
        <v>9075</v>
      </c>
      <c r="L165" s="1020">
        <v>5</v>
      </c>
      <c r="M165" s="1017">
        <f t="shared" si="18"/>
        <v>9982.5</v>
      </c>
      <c r="N165" s="1020">
        <v>5</v>
      </c>
      <c r="O165" s="1017">
        <f t="shared" si="19"/>
        <v>10980.75</v>
      </c>
      <c r="P165" s="1020">
        <v>5</v>
      </c>
      <c r="Q165" s="1017">
        <f t="shared" si="20"/>
        <v>12078.825000000001</v>
      </c>
      <c r="R165" s="1017">
        <f t="shared" si="21"/>
        <v>25</v>
      </c>
      <c r="S165" s="1016"/>
      <c r="T165" s="1016"/>
    </row>
    <row r="166" spans="2:20" s="1014" customFormat="1" ht="48" x14ac:dyDescent="0.25">
      <c r="B166" s="1064" t="s">
        <v>3379</v>
      </c>
      <c r="C166" s="999" t="s">
        <v>3380</v>
      </c>
      <c r="D166" s="1015" t="s">
        <v>19</v>
      </c>
      <c r="E166" s="999">
        <v>100</v>
      </c>
      <c r="F166" s="999">
        <v>20</v>
      </c>
      <c r="G166" s="1017">
        <f>SUM(G167)</f>
        <v>6400</v>
      </c>
      <c r="H166" s="999">
        <v>20</v>
      </c>
      <c r="I166" s="1017">
        <f t="shared" si="16"/>
        <v>7040</v>
      </c>
      <c r="J166" s="999">
        <v>20</v>
      </c>
      <c r="K166" s="1017">
        <f t="shared" si="22"/>
        <v>7744</v>
      </c>
      <c r="L166" s="999">
        <v>20</v>
      </c>
      <c r="M166" s="1017">
        <f t="shared" si="18"/>
        <v>8518.4</v>
      </c>
      <c r="N166" s="999">
        <v>20</v>
      </c>
      <c r="O166" s="1017">
        <f t="shared" si="19"/>
        <v>9370.24</v>
      </c>
      <c r="P166" s="999">
        <v>20</v>
      </c>
      <c r="Q166" s="1017">
        <f t="shared" si="20"/>
        <v>10307.263999999999</v>
      </c>
      <c r="R166" s="1017">
        <f t="shared" si="21"/>
        <v>100</v>
      </c>
      <c r="S166" s="1016"/>
      <c r="T166" s="1016"/>
    </row>
    <row r="167" spans="2:20" s="1014" customFormat="1" ht="51" x14ac:dyDescent="0.25">
      <c r="B167" s="1007" t="s">
        <v>3381</v>
      </c>
      <c r="C167" s="999" t="s">
        <v>3382</v>
      </c>
      <c r="D167" s="1015" t="s">
        <v>40</v>
      </c>
      <c r="E167" s="1021">
        <v>12</v>
      </c>
      <c r="F167" s="999">
        <v>12</v>
      </c>
      <c r="G167" s="1017">
        <v>6400</v>
      </c>
      <c r="H167" s="999">
        <v>12</v>
      </c>
      <c r="I167" s="1017">
        <f t="shared" si="16"/>
        <v>7040</v>
      </c>
      <c r="J167" s="999">
        <v>12</v>
      </c>
      <c r="K167" s="1017">
        <f t="shared" si="22"/>
        <v>7744</v>
      </c>
      <c r="L167" s="999">
        <v>12</v>
      </c>
      <c r="M167" s="1017">
        <f t="shared" si="18"/>
        <v>8518.4</v>
      </c>
      <c r="N167" s="999">
        <v>12</v>
      </c>
      <c r="O167" s="1017">
        <f t="shared" si="19"/>
        <v>9370.24</v>
      </c>
      <c r="P167" s="999">
        <v>12</v>
      </c>
      <c r="Q167" s="1017">
        <f t="shared" si="20"/>
        <v>10307.263999999999</v>
      </c>
      <c r="R167" s="1017">
        <f t="shared" si="21"/>
        <v>60</v>
      </c>
      <c r="S167" s="1016"/>
      <c r="T167" s="1016"/>
    </row>
    <row r="168" spans="2:20" s="1014" customFormat="1" ht="48" x14ac:dyDescent="0.25">
      <c r="B168" s="1064" t="s">
        <v>3307</v>
      </c>
      <c r="C168" s="999" t="s">
        <v>3383</v>
      </c>
      <c r="D168" s="1015" t="s">
        <v>19</v>
      </c>
      <c r="E168" s="1021">
        <v>100</v>
      </c>
      <c r="F168" s="999">
        <v>20</v>
      </c>
      <c r="G168" s="1017">
        <f>SUM(G169:G170)</f>
        <v>25000</v>
      </c>
      <c r="H168" s="999">
        <v>20</v>
      </c>
      <c r="I168" s="1017">
        <f t="shared" si="16"/>
        <v>27500</v>
      </c>
      <c r="J168" s="999">
        <v>20</v>
      </c>
      <c r="K168" s="1017">
        <f t="shared" si="22"/>
        <v>30250</v>
      </c>
      <c r="L168" s="999">
        <v>20</v>
      </c>
      <c r="M168" s="1017">
        <f t="shared" si="18"/>
        <v>33275</v>
      </c>
      <c r="N168" s="999">
        <v>20</v>
      </c>
      <c r="O168" s="1017">
        <f t="shared" si="19"/>
        <v>36602.5</v>
      </c>
      <c r="P168" s="999">
        <v>20</v>
      </c>
      <c r="Q168" s="1017">
        <f t="shared" si="20"/>
        <v>40262.75</v>
      </c>
      <c r="R168" s="1017">
        <f t="shared" si="21"/>
        <v>100</v>
      </c>
      <c r="S168" s="1016"/>
      <c r="T168" s="1016"/>
    </row>
    <row r="169" spans="2:20" s="1014" customFormat="1" ht="38.25" x14ac:dyDescent="0.25">
      <c r="B169" s="1007" t="s">
        <v>3254</v>
      </c>
      <c r="C169" s="999" t="s">
        <v>3384</v>
      </c>
      <c r="D169" s="1015" t="s">
        <v>97</v>
      </c>
      <c r="E169" s="1021"/>
      <c r="F169" s="999">
        <v>16</v>
      </c>
      <c r="G169" s="1017">
        <v>18000</v>
      </c>
      <c r="H169" s="999">
        <v>16</v>
      </c>
      <c r="I169" s="1017">
        <f t="shared" si="16"/>
        <v>19800</v>
      </c>
      <c r="J169" s="999">
        <v>16</v>
      </c>
      <c r="K169" s="1017">
        <f t="shared" si="22"/>
        <v>21780</v>
      </c>
      <c r="L169" s="999">
        <v>16</v>
      </c>
      <c r="M169" s="1017">
        <f t="shared" si="18"/>
        <v>23958</v>
      </c>
      <c r="N169" s="999">
        <v>16</v>
      </c>
      <c r="O169" s="1017">
        <f t="shared" si="19"/>
        <v>26353.8</v>
      </c>
      <c r="P169" s="999">
        <v>16</v>
      </c>
      <c r="Q169" s="1017">
        <f t="shared" si="20"/>
        <v>28989.18</v>
      </c>
      <c r="R169" s="1017"/>
      <c r="S169" s="1016"/>
      <c r="T169" s="1016"/>
    </row>
    <row r="170" spans="2:20" s="1014" customFormat="1" ht="51" x14ac:dyDescent="0.25">
      <c r="B170" s="1005" t="s">
        <v>3256</v>
      </c>
      <c r="C170" s="1022" t="s">
        <v>3385</v>
      </c>
      <c r="D170" s="1015" t="s">
        <v>97</v>
      </c>
      <c r="E170" s="1021"/>
      <c r="F170" s="999">
        <v>16</v>
      </c>
      <c r="G170" s="1023">
        <v>7000</v>
      </c>
      <c r="H170" s="999">
        <v>16</v>
      </c>
      <c r="I170" s="1017">
        <f t="shared" si="16"/>
        <v>7700</v>
      </c>
      <c r="J170" s="999">
        <v>16</v>
      </c>
      <c r="K170" s="1017">
        <f t="shared" si="22"/>
        <v>8470</v>
      </c>
      <c r="L170" s="999">
        <v>16</v>
      </c>
      <c r="M170" s="1017">
        <f t="shared" si="18"/>
        <v>9317</v>
      </c>
      <c r="N170" s="999">
        <v>16</v>
      </c>
      <c r="O170" s="1017">
        <f t="shared" si="19"/>
        <v>10248.700000000001</v>
      </c>
      <c r="P170" s="999">
        <v>16</v>
      </c>
      <c r="Q170" s="1017">
        <f t="shared" si="20"/>
        <v>11273.570000000002</v>
      </c>
      <c r="R170" s="1017"/>
      <c r="S170" s="1016"/>
      <c r="T170" s="1016"/>
    </row>
    <row r="171" spans="2:20" s="1014" customFormat="1" ht="96" x14ac:dyDescent="0.25">
      <c r="B171" s="1064" t="s">
        <v>749</v>
      </c>
      <c r="C171" s="1000" t="s">
        <v>3386</v>
      </c>
      <c r="D171" s="1015" t="s">
        <v>19</v>
      </c>
      <c r="E171" s="1021">
        <v>100</v>
      </c>
      <c r="F171" s="999">
        <v>20</v>
      </c>
      <c r="G171" s="1024">
        <f>SUM(G172)</f>
        <v>53000</v>
      </c>
      <c r="H171" s="999">
        <v>20</v>
      </c>
      <c r="I171" s="1017">
        <f t="shared" si="16"/>
        <v>58300</v>
      </c>
      <c r="J171" s="999">
        <v>20</v>
      </c>
      <c r="K171" s="1017">
        <f t="shared" si="22"/>
        <v>64130</v>
      </c>
      <c r="L171" s="999">
        <v>20</v>
      </c>
      <c r="M171" s="1017">
        <f t="shared" si="18"/>
        <v>70543</v>
      </c>
      <c r="N171" s="999">
        <v>20</v>
      </c>
      <c r="O171" s="1017">
        <f t="shared" si="19"/>
        <v>77597.3</v>
      </c>
      <c r="P171" s="999">
        <v>20</v>
      </c>
      <c r="Q171" s="1017">
        <f t="shared" si="20"/>
        <v>85357.03</v>
      </c>
      <c r="R171" s="1017">
        <f t="shared" si="21"/>
        <v>100</v>
      </c>
      <c r="S171" s="1016"/>
      <c r="T171" s="1016"/>
    </row>
    <row r="172" spans="2:20" s="1014" customFormat="1" ht="89.25" x14ac:dyDescent="0.25">
      <c r="B172" s="1007" t="s">
        <v>3387</v>
      </c>
      <c r="C172" s="999" t="s">
        <v>3388</v>
      </c>
      <c r="D172" s="1015" t="s">
        <v>40</v>
      </c>
      <c r="E172" s="1021"/>
      <c r="F172" s="999">
        <v>12</v>
      </c>
      <c r="G172" s="1017">
        <v>53000</v>
      </c>
      <c r="H172" s="999">
        <v>12</v>
      </c>
      <c r="I172" s="1017">
        <f t="shared" si="16"/>
        <v>58300</v>
      </c>
      <c r="J172" s="999">
        <v>12</v>
      </c>
      <c r="K172" s="1017">
        <f t="shared" si="22"/>
        <v>64130</v>
      </c>
      <c r="L172" s="999">
        <v>12</v>
      </c>
      <c r="M172" s="1017">
        <f t="shared" si="18"/>
        <v>70543</v>
      </c>
      <c r="N172" s="999">
        <v>12</v>
      </c>
      <c r="O172" s="1017">
        <f t="shared" si="19"/>
        <v>77597.3</v>
      </c>
      <c r="P172" s="999">
        <v>12</v>
      </c>
      <c r="Q172" s="1017">
        <f t="shared" si="20"/>
        <v>85357.03</v>
      </c>
      <c r="R172" s="1017"/>
      <c r="S172" s="1016"/>
      <c r="T172" s="1016"/>
    </row>
    <row r="173" spans="2:20" s="1014" customFormat="1" ht="89.25" customHeight="1" x14ac:dyDescent="0.25">
      <c r="B173" s="1064" t="s">
        <v>1743</v>
      </c>
      <c r="C173" s="999" t="s">
        <v>3389</v>
      </c>
      <c r="D173" s="1015" t="s">
        <v>19</v>
      </c>
      <c r="E173" s="1021">
        <v>100</v>
      </c>
      <c r="F173" s="999">
        <v>20</v>
      </c>
      <c r="G173" s="1024">
        <f>SUM(G174:G175)</f>
        <v>41800</v>
      </c>
      <c r="H173" s="999">
        <v>20</v>
      </c>
      <c r="I173" s="1017">
        <f t="shared" si="16"/>
        <v>45980</v>
      </c>
      <c r="J173" s="999">
        <v>20</v>
      </c>
      <c r="K173" s="1017">
        <f t="shared" si="22"/>
        <v>50578</v>
      </c>
      <c r="L173" s="999">
        <v>20</v>
      </c>
      <c r="M173" s="1017">
        <f t="shared" si="18"/>
        <v>55635.8</v>
      </c>
      <c r="N173" s="999">
        <v>20</v>
      </c>
      <c r="O173" s="1017">
        <f t="shared" si="19"/>
        <v>61199.380000000005</v>
      </c>
      <c r="P173" s="999">
        <v>20</v>
      </c>
      <c r="Q173" s="1017">
        <f t="shared" si="20"/>
        <v>67319.317999999999</v>
      </c>
      <c r="R173" s="1017">
        <f t="shared" si="21"/>
        <v>100</v>
      </c>
      <c r="S173" s="1016"/>
      <c r="T173" s="1016"/>
    </row>
    <row r="174" spans="2:20" s="1014" customFormat="1" ht="25.5" x14ac:dyDescent="0.25">
      <c r="B174" s="998" t="s">
        <v>3266</v>
      </c>
      <c r="C174" s="1000" t="s">
        <v>3267</v>
      </c>
      <c r="D174" s="1025" t="s">
        <v>103</v>
      </c>
      <c r="E174" s="1021"/>
      <c r="F174" s="999">
        <v>16</v>
      </c>
      <c r="G174" s="1024">
        <v>36800</v>
      </c>
      <c r="H174" s="999">
        <v>16</v>
      </c>
      <c r="I174" s="1017">
        <f t="shared" si="16"/>
        <v>40480</v>
      </c>
      <c r="J174" s="999">
        <v>16</v>
      </c>
      <c r="K174" s="1017">
        <f t="shared" si="22"/>
        <v>44528</v>
      </c>
      <c r="L174" s="999">
        <v>16</v>
      </c>
      <c r="M174" s="1017">
        <f t="shared" si="18"/>
        <v>48980.800000000003</v>
      </c>
      <c r="N174" s="999">
        <v>16</v>
      </c>
      <c r="O174" s="1017">
        <f t="shared" si="19"/>
        <v>53878.880000000005</v>
      </c>
      <c r="P174" s="999">
        <v>16</v>
      </c>
      <c r="Q174" s="1017">
        <f t="shared" si="20"/>
        <v>59266.768000000004</v>
      </c>
      <c r="R174" s="1017"/>
      <c r="S174" s="1016"/>
      <c r="T174" s="1016"/>
    </row>
    <row r="175" spans="2:20" s="1014" customFormat="1" ht="76.5" x14ac:dyDescent="0.25">
      <c r="B175" s="998" t="s">
        <v>3390</v>
      </c>
      <c r="C175" s="1000" t="s">
        <v>3273</v>
      </c>
      <c r="D175" s="1025" t="s">
        <v>103</v>
      </c>
      <c r="E175" s="1021"/>
      <c r="F175" s="999">
        <v>16</v>
      </c>
      <c r="G175" s="1024">
        <v>5000</v>
      </c>
      <c r="H175" s="999">
        <v>16</v>
      </c>
      <c r="I175" s="1017">
        <f t="shared" si="16"/>
        <v>5500</v>
      </c>
      <c r="J175" s="999">
        <v>16</v>
      </c>
      <c r="K175" s="1017">
        <f t="shared" si="22"/>
        <v>6050</v>
      </c>
      <c r="L175" s="999">
        <v>16</v>
      </c>
      <c r="M175" s="1017">
        <f t="shared" si="18"/>
        <v>6655</v>
      </c>
      <c r="N175" s="999">
        <v>16</v>
      </c>
      <c r="O175" s="1017">
        <f t="shared" si="19"/>
        <v>7320.5</v>
      </c>
      <c r="P175" s="999">
        <v>16</v>
      </c>
      <c r="Q175" s="1017">
        <f t="shared" si="20"/>
        <v>8052.55</v>
      </c>
      <c r="R175" s="1017"/>
      <c r="S175" s="1016"/>
      <c r="T175" s="1016"/>
    </row>
    <row r="176" spans="2:20" s="1014" customFormat="1" ht="63.75" customHeight="1" x14ac:dyDescent="0.25">
      <c r="B176" s="1064" t="s">
        <v>3391</v>
      </c>
      <c r="C176" s="999" t="s">
        <v>3274</v>
      </c>
      <c r="D176" s="1015" t="s">
        <v>19</v>
      </c>
      <c r="E176" s="1021">
        <v>100</v>
      </c>
      <c r="F176" s="999">
        <v>20</v>
      </c>
      <c r="G176" s="1017">
        <f>SUM(G177)</f>
        <v>5000</v>
      </c>
      <c r="H176" s="999">
        <v>20</v>
      </c>
      <c r="I176" s="1017">
        <f t="shared" si="16"/>
        <v>5500</v>
      </c>
      <c r="J176" s="999">
        <v>20</v>
      </c>
      <c r="K176" s="1017">
        <f t="shared" si="22"/>
        <v>6050</v>
      </c>
      <c r="L176" s="999">
        <v>20</v>
      </c>
      <c r="M176" s="1017">
        <f t="shared" si="18"/>
        <v>6655</v>
      </c>
      <c r="N176" s="999">
        <v>20</v>
      </c>
      <c r="O176" s="1017">
        <f t="shared" si="19"/>
        <v>7320.5</v>
      </c>
      <c r="P176" s="999">
        <v>20</v>
      </c>
      <c r="Q176" s="1017">
        <f t="shared" si="20"/>
        <v>8052.55</v>
      </c>
      <c r="R176" s="1017">
        <f t="shared" si="21"/>
        <v>100</v>
      </c>
      <c r="S176" s="1016"/>
      <c r="T176" s="1016"/>
    </row>
    <row r="177" spans="2:20" s="1014" customFormat="1" ht="51" x14ac:dyDescent="0.25">
      <c r="B177" s="1007" t="s">
        <v>3392</v>
      </c>
      <c r="C177" s="999" t="s">
        <v>3393</v>
      </c>
      <c r="D177" s="1015" t="s">
        <v>40</v>
      </c>
      <c r="E177" s="1021"/>
      <c r="F177" s="999">
        <v>12</v>
      </c>
      <c r="G177" s="1017">
        <v>5000</v>
      </c>
      <c r="H177" s="999">
        <v>12</v>
      </c>
      <c r="I177" s="1017">
        <f t="shared" si="16"/>
        <v>5500</v>
      </c>
      <c r="J177" s="999">
        <v>12</v>
      </c>
      <c r="K177" s="1017">
        <f t="shared" si="22"/>
        <v>6050</v>
      </c>
      <c r="L177" s="999">
        <v>12</v>
      </c>
      <c r="M177" s="1017">
        <f t="shared" si="18"/>
        <v>6655</v>
      </c>
      <c r="N177" s="999">
        <v>12</v>
      </c>
      <c r="O177" s="1017">
        <f t="shared" si="19"/>
        <v>7320.5</v>
      </c>
      <c r="P177" s="999">
        <v>12</v>
      </c>
      <c r="Q177" s="1017">
        <f t="shared" si="20"/>
        <v>8052.55</v>
      </c>
      <c r="R177" s="1017"/>
      <c r="S177" s="1016"/>
      <c r="T177" s="1016"/>
    </row>
    <row r="178" spans="2:20" s="1014" customFormat="1" ht="63.75" customHeight="1" x14ac:dyDescent="0.25">
      <c r="B178" s="1064" t="s">
        <v>3312</v>
      </c>
      <c r="C178" s="999" t="s">
        <v>3279</v>
      </c>
      <c r="D178" s="1015" t="s">
        <v>19</v>
      </c>
      <c r="E178" s="1021">
        <v>100</v>
      </c>
      <c r="F178" s="999">
        <v>20</v>
      </c>
      <c r="G178" s="1017">
        <f>SUM(G179)</f>
        <v>5000</v>
      </c>
      <c r="H178" s="999">
        <v>20</v>
      </c>
      <c r="I178" s="1017">
        <f t="shared" si="16"/>
        <v>5500</v>
      </c>
      <c r="J178" s="999">
        <v>20</v>
      </c>
      <c r="K178" s="1017">
        <f t="shared" si="22"/>
        <v>6050</v>
      </c>
      <c r="L178" s="999">
        <v>20</v>
      </c>
      <c r="M178" s="1017">
        <f t="shared" si="18"/>
        <v>6655</v>
      </c>
      <c r="N178" s="999">
        <v>20</v>
      </c>
      <c r="O178" s="1017">
        <f t="shared" si="19"/>
        <v>7320.5</v>
      </c>
      <c r="P178" s="999">
        <v>20</v>
      </c>
      <c r="Q178" s="1017">
        <f t="shared" si="20"/>
        <v>8052.55</v>
      </c>
      <c r="R178" s="1017">
        <f t="shared" si="21"/>
        <v>100</v>
      </c>
      <c r="S178" s="1016"/>
      <c r="T178" s="1016"/>
    </row>
    <row r="179" spans="2:20" s="1014" customFormat="1" ht="63.75" x14ac:dyDescent="0.25">
      <c r="B179" s="1007" t="s">
        <v>3394</v>
      </c>
      <c r="C179" s="999" t="s">
        <v>3395</v>
      </c>
      <c r="D179" s="1015" t="s">
        <v>3097</v>
      </c>
      <c r="E179" s="1021"/>
      <c r="F179" s="999">
        <v>2</v>
      </c>
      <c r="G179" s="1017">
        <v>5000</v>
      </c>
      <c r="H179" s="999">
        <v>2</v>
      </c>
      <c r="I179" s="1017">
        <f t="shared" si="16"/>
        <v>5500</v>
      </c>
      <c r="J179" s="999">
        <v>2</v>
      </c>
      <c r="K179" s="1017">
        <f t="shared" si="22"/>
        <v>6050</v>
      </c>
      <c r="L179" s="999">
        <v>2</v>
      </c>
      <c r="M179" s="1017">
        <f t="shared" si="18"/>
        <v>6655</v>
      </c>
      <c r="N179" s="999">
        <v>2</v>
      </c>
      <c r="O179" s="1017">
        <f t="shared" si="19"/>
        <v>7320.5</v>
      </c>
      <c r="P179" s="999">
        <v>2</v>
      </c>
      <c r="Q179" s="1017">
        <f t="shared" si="20"/>
        <v>8052.55</v>
      </c>
      <c r="R179" s="1017"/>
      <c r="S179" s="1016"/>
      <c r="T179" s="1016"/>
    </row>
    <row r="180" spans="2:20" s="1014" customFormat="1" ht="48" x14ac:dyDescent="0.25">
      <c r="B180" s="1064" t="s">
        <v>3396</v>
      </c>
      <c r="C180" s="999" t="s">
        <v>3397</v>
      </c>
      <c r="D180" s="1015" t="s">
        <v>19</v>
      </c>
      <c r="E180" s="1021">
        <v>100</v>
      </c>
      <c r="F180" s="999">
        <v>20</v>
      </c>
      <c r="G180" s="1017">
        <f>SUM(G181)</f>
        <v>12000</v>
      </c>
      <c r="H180" s="999">
        <v>20</v>
      </c>
      <c r="I180" s="1017">
        <f t="shared" si="16"/>
        <v>13200</v>
      </c>
      <c r="J180" s="999">
        <v>20</v>
      </c>
      <c r="K180" s="1017">
        <f t="shared" si="22"/>
        <v>14520</v>
      </c>
      <c r="L180" s="999">
        <v>20</v>
      </c>
      <c r="M180" s="1017">
        <f t="shared" si="18"/>
        <v>15972</v>
      </c>
      <c r="N180" s="999">
        <v>20</v>
      </c>
      <c r="O180" s="1017">
        <f t="shared" si="19"/>
        <v>17569.2</v>
      </c>
      <c r="P180" s="999">
        <v>20</v>
      </c>
      <c r="Q180" s="1017">
        <f t="shared" si="20"/>
        <v>19326.120000000003</v>
      </c>
      <c r="R180" s="1017">
        <f t="shared" si="21"/>
        <v>100</v>
      </c>
      <c r="S180" s="1016"/>
      <c r="T180" s="1016"/>
    </row>
    <row r="181" spans="2:20" s="1014" customFormat="1" ht="76.5" x14ac:dyDescent="0.25">
      <c r="B181" s="1007" t="s">
        <v>894</v>
      </c>
      <c r="C181" s="999" t="s">
        <v>3398</v>
      </c>
      <c r="D181" s="1015" t="s">
        <v>3097</v>
      </c>
      <c r="E181" s="1021"/>
      <c r="F181" s="999">
        <v>1</v>
      </c>
      <c r="G181" s="1024">
        <v>12000</v>
      </c>
      <c r="H181" s="999">
        <v>1</v>
      </c>
      <c r="I181" s="1017">
        <f t="shared" si="16"/>
        <v>13200</v>
      </c>
      <c r="J181" s="999">
        <v>1</v>
      </c>
      <c r="K181" s="1017">
        <f t="shared" si="22"/>
        <v>14520</v>
      </c>
      <c r="L181" s="999">
        <v>1</v>
      </c>
      <c r="M181" s="1017">
        <f t="shared" si="18"/>
        <v>15972</v>
      </c>
      <c r="N181" s="999">
        <v>1</v>
      </c>
      <c r="O181" s="1017">
        <f t="shared" si="19"/>
        <v>17569.2</v>
      </c>
      <c r="P181" s="999">
        <v>1</v>
      </c>
      <c r="Q181" s="1017">
        <f t="shared" si="20"/>
        <v>19326.120000000003</v>
      </c>
      <c r="R181" s="1017"/>
      <c r="S181" s="1016"/>
      <c r="T181" s="1016"/>
    </row>
    <row r="182" spans="2:20" s="1014" customFormat="1" ht="60" x14ac:dyDescent="0.25">
      <c r="B182" s="1064" t="s">
        <v>1786</v>
      </c>
      <c r="C182" s="999" t="s">
        <v>3399</v>
      </c>
      <c r="D182" s="1015" t="s">
        <v>19</v>
      </c>
      <c r="E182" s="1021">
        <v>100</v>
      </c>
      <c r="F182" s="999">
        <v>20</v>
      </c>
      <c r="G182" s="1024">
        <f>G183</f>
        <v>6000</v>
      </c>
      <c r="H182" s="999">
        <v>20</v>
      </c>
      <c r="I182" s="1017">
        <f t="shared" si="16"/>
        <v>6600</v>
      </c>
      <c r="J182" s="999">
        <v>20</v>
      </c>
      <c r="K182" s="1017">
        <f t="shared" si="22"/>
        <v>7260</v>
      </c>
      <c r="L182" s="999">
        <v>20</v>
      </c>
      <c r="M182" s="1017">
        <f t="shared" si="18"/>
        <v>7986</v>
      </c>
      <c r="N182" s="999">
        <v>20</v>
      </c>
      <c r="O182" s="1017">
        <f t="shared" si="19"/>
        <v>8784.6</v>
      </c>
      <c r="P182" s="999">
        <v>20</v>
      </c>
      <c r="Q182" s="1017">
        <f t="shared" si="20"/>
        <v>9663.0600000000013</v>
      </c>
      <c r="R182" s="1017">
        <f t="shared" si="21"/>
        <v>100</v>
      </c>
      <c r="S182" s="1016"/>
      <c r="T182" s="1016"/>
    </row>
    <row r="183" spans="2:20" s="1014" customFormat="1" ht="51" x14ac:dyDescent="0.25">
      <c r="B183" s="1007" t="s">
        <v>383</v>
      </c>
      <c r="C183" s="999" t="s">
        <v>3400</v>
      </c>
      <c r="D183" s="1015" t="s">
        <v>100</v>
      </c>
      <c r="E183" s="1021">
        <v>64</v>
      </c>
      <c r="F183" s="999">
        <v>64</v>
      </c>
      <c r="G183" s="1024">
        <v>6000</v>
      </c>
      <c r="H183" s="999">
        <v>64</v>
      </c>
      <c r="I183" s="1017">
        <f t="shared" si="16"/>
        <v>6600</v>
      </c>
      <c r="J183" s="999">
        <v>64</v>
      </c>
      <c r="K183" s="1017">
        <f t="shared" si="22"/>
        <v>7260</v>
      </c>
      <c r="L183" s="999">
        <v>64</v>
      </c>
      <c r="M183" s="1017">
        <f t="shared" si="18"/>
        <v>7986</v>
      </c>
      <c r="N183" s="999">
        <v>64</v>
      </c>
      <c r="O183" s="1017">
        <f t="shared" si="19"/>
        <v>8784.6</v>
      </c>
      <c r="P183" s="999">
        <v>64</v>
      </c>
      <c r="Q183" s="1017">
        <f t="shared" si="20"/>
        <v>9663.0600000000013</v>
      </c>
      <c r="R183" s="1017">
        <f t="shared" si="21"/>
        <v>320</v>
      </c>
      <c r="S183" s="1016"/>
      <c r="T183" s="1016"/>
    </row>
    <row r="184" spans="2:20" s="1014" customFormat="1" ht="60" x14ac:dyDescent="0.25">
      <c r="B184" s="1064" t="s">
        <v>1768</v>
      </c>
      <c r="C184" s="1000" t="s">
        <v>3291</v>
      </c>
      <c r="D184" s="1015" t="s">
        <v>19</v>
      </c>
      <c r="E184" s="1026">
        <v>60</v>
      </c>
      <c r="F184" s="1018"/>
      <c r="G184" s="1017">
        <f>SUM(G185)</f>
        <v>0</v>
      </c>
      <c r="H184" s="1018">
        <v>70</v>
      </c>
      <c r="I184" s="1017"/>
      <c r="J184" s="1018"/>
      <c r="K184" s="1017"/>
      <c r="L184" s="1018">
        <v>80</v>
      </c>
      <c r="M184" s="1017">
        <f t="shared" si="18"/>
        <v>0</v>
      </c>
      <c r="N184" s="1018"/>
      <c r="O184" s="1017">
        <f t="shared" si="19"/>
        <v>0</v>
      </c>
      <c r="P184" s="1018"/>
      <c r="Q184" s="1017">
        <f t="shared" si="20"/>
        <v>0</v>
      </c>
      <c r="R184" s="1017">
        <f>L184</f>
        <v>80</v>
      </c>
      <c r="S184" s="1016"/>
      <c r="T184" s="1016"/>
    </row>
    <row r="185" spans="2:20" s="1014" customFormat="1" ht="63.75" x14ac:dyDescent="0.25">
      <c r="B185" s="1007" t="s">
        <v>3401</v>
      </c>
      <c r="C185" s="999" t="s">
        <v>3402</v>
      </c>
      <c r="D185" s="1015" t="s">
        <v>103</v>
      </c>
      <c r="E185" s="1021"/>
      <c r="F185" s="999">
        <v>0</v>
      </c>
      <c r="G185" s="1017">
        <v>0</v>
      </c>
      <c r="H185" s="999">
        <v>3</v>
      </c>
      <c r="I185" s="1017">
        <f>H185*1000</f>
        <v>3000</v>
      </c>
      <c r="J185" s="999">
        <v>0</v>
      </c>
      <c r="K185" s="1017">
        <v>0</v>
      </c>
      <c r="L185" s="999">
        <v>13</v>
      </c>
      <c r="M185" s="1017">
        <f>L185*1500</f>
        <v>19500</v>
      </c>
      <c r="N185" s="999">
        <v>0</v>
      </c>
      <c r="O185" s="1017">
        <v>0</v>
      </c>
      <c r="P185" s="999">
        <v>0</v>
      </c>
      <c r="Q185" s="1017">
        <v>0</v>
      </c>
      <c r="R185" s="1017">
        <f t="shared" si="21"/>
        <v>16</v>
      </c>
      <c r="S185" s="1016"/>
      <c r="T185" s="1016"/>
    </row>
    <row r="186" spans="2:20" s="1014" customFormat="1" ht="76.5" customHeight="1" x14ac:dyDescent="0.25">
      <c r="B186" s="1064" t="s">
        <v>3404</v>
      </c>
      <c r="C186" s="999" t="s">
        <v>3403</v>
      </c>
      <c r="D186" s="1015" t="s">
        <v>19</v>
      </c>
      <c r="E186" s="1021">
        <v>48</v>
      </c>
      <c r="F186" s="999">
        <f>F187</f>
        <v>48</v>
      </c>
      <c r="G186" s="1017">
        <f>G187</f>
        <v>6000</v>
      </c>
      <c r="H186" s="1017">
        <f t="shared" ref="H186:Q186" si="23">H187</f>
        <v>48</v>
      </c>
      <c r="I186" s="1017">
        <f t="shared" si="23"/>
        <v>6600</v>
      </c>
      <c r="J186" s="1017">
        <f t="shared" si="23"/>
        <v>48</v>
      </c>
      <c r="K186" s="1017">
        <f t="shared" si="23"/>
        <v>7260</v>
      </c>
      <c r="L186" s="1017">
        <f t="shared" si="23"/>
        <v>48</v>
      </c>
      <c r="M186" s="1017">
        <f t="shared" si="23"/>
        <v>7986</v>
      </c>
      <c r="N186" s="1017">
        <f t="shared" si="23"/>
        <v>48</v>
      </c>
      <c r="O186" s="1017">
        <f t="shared" si="23"/>
        <v>8784.6</v>
      </c>
      <c r="P186" s="1017">
        <f t="shared" si="23"/>
        <v>48</v>
      </c>
      <c r="Q186" s="1017">
        <f t="shared" si="23"/>
        <v>9663.0600000000013</v>
      </c>
      <c r="R186" s="1017">
        <f t="shared" si="21"/>
        <v>240</v>
      </c>
      <c r="S186" s="1016"/>
      <c r="T186" s="1016"/>
    </row>
    <row r="187" spans="2:20" s="1014" customFormat="1" ht="38.25" x14ac:dyDescent="0.25">
      <c r="B187" s="1007" t="s">
        <v>3405</v>
      </c>
      <c r="C187" s="999" t="s">
        <v>3406</v>
      </c>
      <c r="D187" s="1015" t="s">
        <v>100</v>
      </c>
      <c r="E187" s="1021"/>
      <c r="F187" s="999">
        <v>48</v>
      </c>
      <c r="G187" s="1017">
        <v>6000</v>
      </c>
      <c r="H187" s="999">
        <v>48</v>
      </c>
      <c r="I187" s="1017">
        <f t="shared" si="16"/>
        <v>6600</v>
      </c>
      <c r="J187" s="999">
        <v>48</v>
      </c>
      <c r="K187" s="1017">
        <f t="shared" si="22"/>
        <v>7260</v>
      </c>
      <c r="L187" s="999">
        <v>48</v>
      </c>
      <c r="M187" s="1017">
        <f t="shared" si="18"/>
        <v>7986</v>
      </c>
      <c r="N187" s="999">
        <v>48</v>
      </c>
      <c r="O187" s="1017">
        <f t="shared" si="19"/>
        <v>8784.6</v>
      </c>
      <c r="P187" s="999">
        <v>48</v>
      </c>
      <c r="Q187" s="1017">
        <f t="shared" si="20"/>
        <v>9663.0600000000013</v>
      </c>
      <c r="R187" s="1017">
        <f t="shared" si="21"/>
        <v>240</v>
      </c>
      <c r="S187" s="1016"/>
      <c r="T187" s="1016"/>
    </row>
    <row r="188" spans="2:20" s="1003" customFormat="1" ht="13.5" customHeight="1" x14ac:dyDescent="0.25">
      <c r="B188" s="1027" t="s">
        <v>2651</v>
      </c>
      <c r="C188" s="1000"/>
      <c r="D188" s="1000"/>
      <c r="E188" s="1000"/>
      <c r="F188" s="1000"/>
      <c r="G188" s="1012">
        <f>G148+G161+G164+G166+G168+G171+G173+G176+G178+G180+G182+G184+G186</f>
        <v>277290</v>
      </c>
      <c r="H188" s="1000"/>
      <c r="I188" s="1012">
        <f>I148+I161+I164+I166+I168+I171+I173+I176+I178+I180+I182+I184+I186</f>
        <v>305019</v>
      </c>
      <c r="J188" s="1000"/>
      <c r="K188" s="1012">
        <f>K148+K161+K164+K166+K168+K171+K173+K176+K178+K180+K182+K184+K186</f>
        <v>375520.9</v>
      </c>
      <c r="L188" s="1000"/>
      <c r="M188" s="1012">
        <f>M148+M161+M164+M166+M168+M171+M173+M176+M178+M180+M182+M184+M186</f>
        <v>413072.98999999993</v>
      </c>
      <c r="N188" s="1000"/>
      <c r="O188" s="1012">
        <f>O148+O161+O164+O166+O168+O171+O173+O176+O178+O180+O182+O184+O186</f>
        <v>454380.28899999993</v>
      </c>
      <c r="P188" s="1000"/>
      <c r="Q188" s="1012">
        <f>Q148+Q161+Q164+Q166+Q168+Q171+Q173+Q176+Q178+Q180+Q182+Q184+Q186</f>
        <v>499818.31789999991</v>
      </c>
      <c r="R188" s="1000"/>
      <c r="S188" s="1013"/>
      <c r="T188" s="1013"/>
    </row>
    <row r="189" spans="2:20" s="1003" customFormat="1" x14ac:dyDescent="0.25">
      <c r="B189" s="1005"/>
      <c r="C189" s="1100"/>
      <c r="D189" s="1000"/>
      <c r="E189" s="1001"/>
      <c r="F189" s="1001"/>
      <c r="G189" s="1001"/>
      <c r="H189" s="1001"/>
      <c r="I189" s="1001"/>
      <c r="J189" s="1001"/>
      <c r="K189" s="1001"/>
      <c r="L189" s="1001"/>
      <c r="M189" s="1001"/>
      <c r="N189" s="1001"/>
      <c r="O189" s="1001"/>
      <c r="P189" s="1001"/>
      <c r="Q189" s="1001"/>
      <c r="R189" s="1001"/>
      <c r="S189" s="1004"/>
      <c r="T189" s="1004"/>
    </row>
    <row r="190" spans="2:20" s="1003" customFormat="1" x14ac:dyDescent="0.25">
      <c r="B190" s="1167" t="s">
        <v>3407</v>
      </c>
      <c r="C190" s="1100"/>
      <c r="D190" s="1000"/>
      <c r="E190" s="1001"/>
      <c r="F190" s="1001"/>
      <c r="G190" s="1001"/>
      <c r="H190" s="1001"/>
      <c r="I190" s="1001"/>
      <c r="J190" s="1001"/>
      <c r="K190" s="1001"/>
      <c r="L190" s="1001"/>
      <c r="M190" s="1001"/>
      <c r="N190" s="1001"/>
      <c r="O190" s="1001"/>
      <c r="P190" s="1001"/>
      <c r="Q190" s="1001"/>
      <c r="R190" s="1001"/>
      <c r="S190" s="1004"/>
      <c r="T190" s="1004"/>
    </row>
    <row r="191" spans="2:20" s="1003" customFormat="1" ht="51" customHeight="1" x14ac:dyDescent="0.25">
      <c r="B191" s="998"/>
      <c r="C191" s="999" t="s">
        <v>3228</v>
      </c>
      <c r="D191" s="1000" t="s">
        <v>19</v>
      </c>
      <c r="E191" s="1001">
        <v>90</v>
      </c>
      <c r="F191" s="1001">
        <v>93</v>
      </c>
      <c r="G191" s="1001"/>
      <c r="H191" s="1001">
        <v>94</v>
      </c>
      <c r="I191" s="1001"/>
      <c r="J191" s="1001">
        <v>95</v>
      </c>
      <c r="K191" s="1001"/>
      <c r="L191" s="1001">
        <v>96</v>
      </c>
      <c r="M191" s="1001"/>
      <c r="N191" s="1001">
        <v>97</v>
      </c>
      <c r="O191" s="1001"/>
      <c r="P191" s="1001">
        <v>98</v>
      </c>
      <c r="Q191" s="1001"/>
      <c r="R191" s="1001">
        <v>97</v>
      </c>
      <c r="S191" s="1002"/>
      <c r="T191" s="1002"/>
    </row>
    <row r="192" spans="2:20" s="1003" customFormat="1" ht="63.75" x14ac:dyDescent="0.25">
      <c r="B192" s="1106" t="s">
        <v>3229</v>
      </c>
      <c r="C192" s="1000" t="s">
        <v>1488</v>
      </c>
      <c r="D192" s="1000" t="s">
        <v>19</v>
      </c>
      <c r="E192" s="1001">
        <v>100</v>
      </c>
      <c r="F192" s="1001">
        <v>20</v>
      </c>
      <c r="G192" s="1001">
        <f>SUM(G193:G205)</f>
        <v>96240</v>
      </c>
      <c r="H192" s="1001">
        <v>20</v>
      </c>
      <c r="I192" s="1001">
        <f>SUM(I193:I205)</f>
        <v>100000</v>
      </c>
      <c r="J192" s="1001">
        <v>20</v>
      </c>
      <c r="K192" s="1001">
        <f>SUM(K193:K205)</f>
        <v>130500</v>
      </c>
      <c r="L192" s="1001">
        <v>20</v>
      </c>
      <c r="M192" s="1001">
        <f>SUM(M193:M205)</f>
        <v>157500</v>
      </c>
      <c r="N192" s="1001">
        <v>20</v>
      </c>
      <c r="O192" s="1001">
        <f>SUM(O193:O205)</f>
        <v>180500</v>
      </c>
      <c r="P192" s="1001">
        <v>100</v>
      </c>
      <c r="Q192" s="1001">
        <f>SUM(Q193:Q205)</f>
        <v>202500</v>
      </c>
      <c r="R192" s="1001">
        <v>100</v>
      </c>
      <c r="S192" s="1004"/>
      <c r="T192" s="1004"/>
    </row>
    <row r="193" spans="2:20" s="1003" customFormat="1" ht="25.5" x14ac:dyDescent="0.25">
      <c r="B193" s="998" t="s">
        <v>124</v>
      </c>
      <c r="C193" s="1100" t="s">
        <v>3230</v>
      </c>
      <c r="D193" s="1000" t="s">
        <v>40</v>
      </c>
      <c r="E193" s="1001"/>
      <c r="F193" s="1001">
        <v>12</v>
      </c>
      <c r="G193" s="1001">
        <v>2000</v>
      </c>
      <c r="H193" s="1001">
        <v>12</v>
      </c>
      <c r="I193" s="1001">
        <v>2000</v>
      </c>
      <c r="J193" s="1001">
        <v>12</v>
      </c>
      <c r="K193" s="1001">
        <v>5000</v>
      </c>
      <c r="L193" s="1001">
        <v>12</v>
      </c>
      <c r="M193" s="1001">
        <v>7000</v>
      </c>
      <c r="N193" s="1001">
        <v>12</v>
      </c>
      <c r="O193" s="1001">
        <v>9000</v>
      </c>
      <c r="P193" s="1001">
        <v>12</v>
      </c>
      <c r="Q193" s="1001">
        <v>9000</v>
      </c>
      <c r="R193" s="1001"/>
      <c r="S193" s="1004"/>
      <c r="T193" s="1004"/>
    </row>
    <row r="194" spans="2:20" s="1003" customFormat="1" ht="51" x14ac:dyDescent="0.25">
      <c r="B194" s="1005" t="s">
        <v>126</v>
      </c>
      <c r="C194" s="1100" t="s">
        <v>2518</v>
      </c>
      <c r="D194" s="1000" t="s">
        <v>40</v>
      </c>
      <c r="E194" s="1001"/>
      <c r="F194" s="1001">
        <v>12</v>
      </c>
      <c r="G194" s="1001">
        <v>17000</v>
      </c>
      <c r="H194" s="1001">
        <v>12</v>
      </c>
      <c r="I194" s="1001">
        <v>19000</v>
      </c>
      <c r="J194" s="1001">
        <v>12</v>
      </c>
      <c r="K194" s="1001">
        <v>24000</v>
      </c>
      <c r="L194" s="1001">
        <v>12</v>
      </c>
      <c r="M194" s="1001">
        <v>27000</v>
      </c>
      <c r="N194" s="1001">
        <v>12</v>
      </c>
      <c r="O194" s="1001">
        <v>30000</v>
      </c>
      <c r="P194" s="1001">
        <v>12</v>
      </c>
      <c r="Q194" s="1001">
        <v>33000</v>
      </c>
      <c r="R194" s="1001"/>
      <c r="S194" s="1004"/>
      <c r="T194" s="1004"/>
    </row>
    <row r="195" spans="2:20" s="1003" customFormat="1" ht="76.5" x14ac:dyDescent="0.25">
      <c r="B195" s="1005" t="s">
        <v>3231</v>
      </c>
      <c r="C195" s="1100" t="s">
        <v>2519</v>
      </c>
      <c r="D195" s="1000" t="s">
        <v>40</v>
      </c>
      <c r="E195" s="1001"/>
      <c r="F195" s="1001">
        <v>12</v>
      </c>
      <c r="G195" s="1001">
        <v>24000</v>
      </c>
      <c r="H195" s="1001">
        <v>12</v>
      </c>
      <c r="I195" s="1001">
        <v>25000</v>
      </c>
      <c r="J195" s="1001">
        <v>12</v>
      </c>
      <c r="K195" s="1001">
        <v>27000</v>
      </c>
      <c r="L195" s="1001">
        <v>12</v>
      </c>
      <c r="M195" s="1001">
        <v>30000</v>
      </c>
      <c r="N195" s="1001">
        <v>12</v>
      </c>
      <c r="O195" s="1001">
        <v>33000</v>
      </c>
      <c r="P195" s="1001">
        <v>12</v>
      </c>
      <c r="Q195" s="1001">
        <v>36000</v>
      </c>
      <c r="R195" s="1001"/>
      <c r="S195" s="1004"/>
      <c r="T195" s="1004"/>
    </row>
    <row r="196" spans="2:20" s="1003" customFormat="1" ht="38.25" x14ac:dyDescent="0.25">
      <c r="B196" s="1005" t="s">
        <v>45</v>
      </c>
      <c r="C196" s="1100" t="s">
        <v>2520</v>
      </c>
      <c r="D196" s="1000" t="s">
        <v>40</v>
      </c>
      <c r="E196" s="1001"/>
      <c r="F196" s="1001">
        <v>12</v>
      </c>
      <c r="G196" s="1001">
        <v>9000</v>
      </c>
      <c r="H196" s="1001">
        <v>12</v>
      </c>
      <c r="I196" s="1001">
        <v>10760</v>
      </c>
      <c r="J196" s="1001">
        <v>12</v>
      </c>
      <c r="K196" s="1001">
        <v>15000</v>
      </c>
      <c r="L196" s="1001">
        <v>12</v>
      </c>
      <c r="M196" s="1001">
        <v>18000</v>
      </c>
      <c r="N196" s="1001">
        <v>12</v>
      </c>
      <c r="O196" s="1001">
        <v>21000</v>
      </c>
      <c r="P196" s="1001">
        <v>12</v>
      </c>
      <c r="Q196" s="1001">
        <v>24000</v>
      </c>
      <c r="R196" s="1001"/>
      <c r="S196" s="1004"/>
      <c r="T196" s="1004"/>
    </row>
    <row r="197" spans="2:20" s="1003" customFormat="1" ht="38.25" x14ac:dyDescent="0.25">
      <c r="B197" s="1005" t="s">
        <v>47</v>
      </c>
      <c r="C197" s="1100" t="s">
        <v>2521</v>
      </c>
      <c r="D197" s="1000" t="s">
        <v>40</v>
      </c>
      <c r="E197" s="1001"/>
      <c r="F197" s="1001">
        <v>12</v>
      </c>
      <c r="G197" s="1001">
        <v>3000</v>
      </c>
      <c r="H197" s="1001">
        <v>12</v>
      </c>
      <c r="I197" s="1001">
        <v>3000</v>
      </c>
      <c r="J197" s="1001">
        <v>12</v>
      </c>
      <c r="K197" s="1001">
        <v>5000</v>
      </c>
      <c r="L197" s="1001">
        <v>12</v>
      </c>
      <c r="M197" s="1001">
        <v>7000</v>
      </c>
      <c r="N197" s="1001">
        <v>12</v>
      </c>
      <c r="O197" s="1001">
        <v>9000</v>
      </c>
      <c r="P197" s="1001">
        <v>12</v>
      </c>
      <c r="Q197" s="1001">
        <v>11000</v>
      </c>
      <c r="R197" s="1001"/>
      <c r="S197" s="1004"/>
      <c r="T197" s="1004"/>
    </row>
    <row r="198" spans="2:20" s="1003" customFormat="1" ht="51" x14ac:dyDescent="0.25">
      <c r="B198" s="1005" t="s">
        <v>923</v>
      </c>
      <c r="C198" s="1100" t="s">
        <v>2522</v>
      </c>
      <c r="D198" s="1000" t="s">
        <v>40</v>
      </c>
      <c r="E198" s="1001"/>
      <c r="F198" s="1001">
        <v>12</v>
      </c>
      <c r="G198" s="1001">
        <v>4000</v>
      </c>
      <c r="H198" s="1001">
        <v>12</v>
      </c>
      <c r="I198" s="1001">
        <v>4000</v>
      </c>
      <c r="J198" s="1001">
        <v>12</v>
      </c>
      <c r="K198" s="1001">
        <v>6000</v>
      </c>
      <c r="L198" s="1001">
        <v>12</v>
      </c>
      <c r="M198" s="1001">
        <v>8000</v>
      </c>
      <c r="N198" s="1001">
        <v>12</v>
      </c>
      <c r="O198" s="1001">
        <v>10000</v>
      </c>
      <c r="P198" s="1001">
        <v>12</v>
      </c>
      <c r="Q198" s="1001">
        <v>12000</v>
      </c>
      <c r="R198" s="1001"/>
      <c r="S198" s="1004"/>
      <c r="T198" s="1004"/>
    </row>
    <row r="199" spans="2:20" s="1003" customFormat="1" ht="38.25" x14ac:dyDescent="0.25">
      <c r="B199" s="1005" t="s">
        <v>50</v>
      </c>
      <c r="C199" s="1100" t="s">
        <v>2523</v>
      </c>
      <c r="D199" s="1000" t="s">
        <v>40</v>
      </c>
      <c r="E199" s="1001"/>
      <c r="F199" s="1001">
        <v>12</v>
      </c>
      <c r="G199" s="1001">
        <v>8040</v>
      </c>
      <c r="H199" s="1001">
        <v>12</v>
      </c>
      <c r="I199" s="1001">
        <v>8040</v>
      </c>
      <c r="J199" s="1001">
        <v>12</v>
      </c>
      <c r="K199" s="1001">
        <v>10000</v>
      </c>
      <c r="L199" s="1001">
        <v>12</v>
      </c>
      <c r="M199" s="1001">
        <v>13000</v>
      </c>
      <c r="N199" s="1001">
        <v>12</v>
      </c>
      <c r="O199" s="1001">
        <v>16000</v>
      </c>
      <c r="P199" s="1001">
        <v>12</v>
      </c>
      <c r="Q199" s="1001">
        <v>19000</v>
      </c>
      <c r="R199" s="1001"/>
      <c r="S199" s="1004"/>
      <c r="T199" s="1004"/>
    </row>
    <row r="200" spans="2:20" s="1003" customFormat="1" ht="51" x14ac:dyDescent="0.25">
      <c r="B200" s="1005" t="s">
        <v>52</v>
      </c>
      <c r="C200" s="1100" t="s">
        <v>2524</v>
      </c>
      <c r="D200" s="1000" t="s">
        <v>40</v>
      </c>
      <c r="E200" s="1001"/>
      <c r="F200" s="1001">
        <v>12</v>
      </c>
      <c r="G200" s="1001">
        <v>2500</v>
      </c>
      <c r="H200" s="1001">
        <v>12</v>
      </c>
      <c r="I200" s="1001">
        <v>2500</v>
      </c>
      <c r="J200" s="1001">
        <v>12</v>
      </c>
      <c r="K200" s="1001">
        <v>3000</v>
      </c>
      <c r="L200" s="1001">
        <v>12</v>
      </c>
      <c r="M200" s="1001">
        <v>5000</v>
      </c>
      <c r="N200" s="1001">
        <v>12</v>
      </c>
      <c r="O200" s="1001">
        <v>7000</v>
      </c>
      <c r="P200" s="1001">
        <v>12</v>
      </c>
      <c r="Q200" s="1001">
        <v>9000</v>
      </c>
      <c r="R200" s="1001"/>
      <c r="S200" s="1004"/>
      <c r="T200" s="1004"/>
    </row>
    <row r="201" spans="2:20" s="1003" customFormat="1" ht="76.5" x14ac:dyDescent="0.25">
      <c r="B201" s="1005" t="s">
        <v>782</v>
      </c>
      <c r="C201" s="1100" t="s">
        <v>2525</v>
      </c>
      <c r="D201" s="1000" t="s">
        <v>40</v>
      </c>
      <c r="E201" s="1001"/>
      <c r="F201" s="1001">
        <v>12</v>
      </c>
      <c r="G201" s="1001">
        <v>3000</v>
      </c>
      <c r="H201" s="1001">
        <v>12</v>
      </c>
      <c r="I201" s="1001">
        <v>2000</v>
      </c>
      <c r="J201" s="1001">
        <v>12</v>
      </c>
      <c r="K201" s="1001">
        <v>4000</v>
      </c>
      <c r="L201" s="1001">
        <v>12</v>
      </c>
      <c r="M201" s="1001">
        <v>5500</v>
      </c>
      <c r="N201" s="1001">
        <v>12</v>
      </c>
      <c r="O201" s="1001">
        <v>6000</v>
      </c>
      <c r="P201" s="1001">
        <v>12</v>
      </c>
      <c r="Q201" s="1001">
        <v>7000</v>
      </c>
      <c r="R201" s="1001"/>
      <c r="S201" s="1004"/>
      <c r="T201" s="1004"/>
    </row>
    <row r="202" spans="2:20" s="1003" customFormat="1" ht="63.75" x14ac:dyDescent="0.25">
      <c r="B202" s="1005" t="s">
        <v>3232</v>
      </c>
      <c r="C202" s="1100" t="s">
        <v>2526</v>
      </c>
      <c r="D202" s="1000" t="s">
        <v>40</v>
      </c>
      <c r="E202" s="1001"/>
      <c r="F202" s="1001">
        <v>12</v>
      </c>
      <c r="G202" s="1001">
        <v>1440</v>
      </c>
      <c r="H202" s="1001">
        <v>12</v>
      </c>
      <c r="I202" s="1001">
        <v>1440</v>
      </c>
      <c r="J202" s="1001">
        <v>12</v>
      </c>
      <c r="K202" s="1001">
        <v>1500</v>
      </c>
      <c r="L202" s="1001">
        <v>12</v>
      </c>
      <c r="M202" s="1001">
        <v>2000</v>
      </c>
      <c r="N202" s="1001">
        <v>12</v>
      </c>
      <c r="O202" s="1001">
        <v>2000</v>
      </c>
      <c r="P202" s="1001">
        <v>12</v>
      </c>
      <c r="Q202" s="1001">
        <v>2000</v>
      </c>
      <c r="R202" s="1001"/>
      <c r="S202" s="1004"/>
      <c r="T202" s="1004"/>
    </row>
    <row r="203" spans="2:20" s="1003" customFormat="1" ht="38.25" x14ac:dyDescent="0.25">
      <c r="B203" s="1005" t="s">
        <v>58</v>
      </c>
      <c r="C203" s="1100" t="s">
        <v>2527</v>
      </c>
      <c r="D203" s="1000" t="s">
        <v>40</v>
      </c>
      <c r="E203" s="1001"/>
      <c r="F203" s="1001">
        <v>12</v>
      </c>
      <c r="G203" s="1001">
        <v>8000</v>
      </c>
      <c r="H203" s="1001">
        <v>12</v>
      </c>
      <c r="I203" s="1001">
        <v>8000</v>
      </c>
      <c r="J203" s="1001">
        <v>12</v>
      </c>
      <c r="K203" s="1001">
        <v>10000</v>
      </c>
      <c r="L203" s="1001">
        <v>12</v>
      </c>
      <c r="M203" s="1001">
        <v>12000</v>
      </c>
      <c r="N203" s="1001">
        <v>12</v>
      </c>
      <c r="O203" s="1001">
        <v>12500</v>
      </c>
      <c r="P203" s="1001">
        <v>12</v>
      </c>
      <c r="Q203" s="1001">
        <v>13500</v>
      </c>
      <c r="R203" s="1001"/>
      <c r="S203" s="1004"/>
      <c r="T203" s="1004"/>
    </row>
    <row r="204" spans="2:20" s="1003" customFormat="1" ht="51" x14ac:dyDescent="0.25">
      <c r="B204" s="1005" t="s">
        <v>3233</v>
      </c>
      <c r="C204" s="1100" t="s">
        <v>2529</v>
      </c>
      <c r="D204" s="1000" t="s">
        <v>40</v>
      </c>
      <c r="E204" s="1001"/>
      <c r="F204" s="1001">
        <v>12</v>
      </c>
      <c r="G204" s="1001">
        <v>13260</v>
      </c>
      <c r="H204" s="1001">
        <v>12</v>
      </c>
      <c r="I204" s="1001">
        <v>13260</v>
      </c>
      <c r="J204" s="1001">
        <v>12</v>
      </c>
      <c r="K204" s="1001">
        <v>15000</v>
      </c>
      <c r="L204" s="1001">
        <v>12</v>
      </c>
      <c r="M204" s="1001">
        <v>17000</v>
      </c>
      <c r="N204" s="1001">
        <v>12</v>
      </c>
      <c r="O204" s="1001">
        <v>18000</v>
      </c>
      <c r="P204" s="1001">
        <v>12</v>
      </c>
      <c r="Q204" s="1001">
        <v>19000</v>
      </c>
      <c r="R204" s="1001"/>
      <c r="S204" s="1004"/>
      <c r="T204" s="1004"/>
    </row>
    <row r="205" spans="2:20" s="1003" customFormat="1" ht="51" x14ac:dyDescent="0.25">
      <c r="B205" s="1102" t="s">
        <v>137</v>
      </c>
      <c r="C205" s="1100" t="s">
        <v>2528</v>
      </c>
      <c r="D205" s="1000" t="s">
        <v>40</v>
      </c>
      <c r="E205" s="1001"/>
      <c r="F205" s="1001">
        <v>12</v>
      </c>
      <c r="G205" s="1001">
        <v>1000</v>
      </c>
      <c r="H205" s="1001">
        <v>12</v>
      </c>
      <c r="I205" s="1001">
        <v>1000</v>
      </c>
      <c r="J205" s="1001">
        <v>12</v>
      </c>
      <c r="K205" s="1001">
        <v>5000</v>
      </c>
      <c r="L205" s="1001">
        <v>12</v>
      </c>
      <c r="M205" s="1001">
        <v>6000</v>
      </c>
      <c r="N205" s="1001">
        <v>12</v>
      </c>
      <c r="O205" s="1001">
        <v>7000</v>
      </c>
      <c r="P205" s="1001">
        <v>12</v>
      </c>
      <c r="Q205" s="1001">
        <v>8000</v>
      </c>
      <c r="R205" s="1001"/>
      <c r="S205" s="1004"/>
      <c r="T205" s="1004"/>
    </row>
    <row r="206" spans="2:20" s="1003" customFormat="1" ht="38.25" x14ac:dyDescent="0.25">
      <c r="B206" s="2121" t="s">
        <v>65</v>
      </c>
      <c r="C206" s="999" t="s">
        <v>3234</v>
      </c>
      <c r="D206" s="999" t="s">
        <v>19</v>
      </c>
      <c r="E206" s="1001">
        <v>70</v>
      </c>
      <c r="F206" s="1001">
        <v>3</v>
      </c>
      <c r="G206" s="1006"/>
      <c r="H206" s="1001">
        <v>2</v>
      </c>
      <c r="I206" s="1006"/>
      <c r="J206" s="1001">
        <v>3</v>
      </c>
      <c r="K206" s="1006"/>
      <c r="L206" s="1001">
        <v>2</v>
      </c>
      <c r="M206" s="1006"/>
      <c r="N206" s="1001">
        <v>3</v>
      </c>
      <c r="O206" s="1006"/>
      <c r="P206" s="1001">
        <v>2</v>
      </c>
      <c r="Q206" s="1006"/>
      <c r="R206" s="1001">
        <f>E206+F206+H206+J206+L206+N206</f>
        <v>83</v>
      </c>
      <c r="S206" s="1004"/>
      <c r="T206" s="1004"/>
    </row>
    <row r="207" spans="2:20" s="1003" customFormat="1" ht="38.25" x14ac:dyDescent="0.25">
      <c r="B207" s="2121"/>
      <c r="C207" s="999" t="s">
        <v>3235</v>
      </c>
      <c r="D207" s="999" t="s">
        <v>19</v>
      </c>
      <c r="E207" s="1001">
        <v>100</v>
      </c>
      <c r="F207" s="1001">
        <v>100</v>
      </c>
      <c r="G207" s="1006"/>
      <c r="H207" s="1001">
        <v>100</v>
      </c>
      <c r="I207" s="1006"/>
      <c r="J207" s="1001">
        <v>100</v>
      </c>
      <c r="K207" s="1006"/>
      <c r="L207" s="1001">
        <v>100</v>
      </c>
      <c r="M207" s="1006"/>
      <c r="N207" s="1001">
        <v>100</v>
      </c>
      <c r="O207" s="1006"/>
      <c r="P207" s="1001">
        <v>100</v>
      </c>
      <c r="Q207" s="1006"/>
      <c r="R207" s="1001">
        <v>100</v>
      </c>
      <c r="S207" s="1004"/>
      <c r="T207" s="1004"/>
    </row>
    <row r="208" spans="2:20" s="1003" customFormat="1" ht="38.25" x14ac:dyDescent="0.25">
      <c r="B208" s="1007" t="s">
        <v>144</v>
      </c>
      <c r="C208" s="999" t="s">
        <v>3408</v>
      </c>
      <c r="D208" s="999" t="s">
        <v>69</v>
      </c>
      <c r="E208" s="1001"/>
      <c r="F208" s="1001"/>
      <c r="G208" s="1001" t="s">
        <v>313</v>
      </c>
      <c r="H208" s="1001">
        <v>1</v>
      </c>
      <c r="I208" s="1001">
        <v>10000</v>
      </c>
      <c r="J208" s="1001">
        <v>1</v>
      </c>
      <c r="K208" s="1001">
        <v>24000</v>
      </c>
      <c r="L208" s="1001">
        <v>1</v>
      </c>
      <c r="M208" s="1001">
        <v>24000</v>
      </c>
      <c r="N208" s="1001">
        <v>1</v>
      </c>
      <c r="O208" s="1001">
        <v>50000</v>
      </c>
      <c r="P208" s="1001">
        <v>1</v>
      </c>
      <c r="Q208" s="1001">
        <v>50000</v>
      </c>
      <c r="R208" s="1001"/>
      <c r="S208" s="1004"/>
      <c r="T208" s="1004"/>
    </row>
    <row r="209" spans="2:20" s="1003" customFormat="1" ht="25.5" x14ac:dyDescent="0.25">
      <c r="B209" s="998" t="s">
        <v>3236</v>
      </c>
      <c r="C209" s="1000" t="s">
        <v>3409</v>
      </c>
      <c r="D209" s="1000" t="s">
        <v>75</v>
      </c>
      <c r="E209" s="1001"/>
      <c r="F209" s="1001">
        <v>5</v>
      </c>
      <c r="G209" s="1001">
        <v>10200</v>
      </c>
      <c r="H209" s="1001">
        <v>3</v>
      </c>
      <c r="I209" s="1001">
        <v>23000</v>
      </c>
      <c r="J209" s="1001">
        <v>6</v>
      </c>
      <c r="K209" s="1001">
        <v>23000</v>
      </c>
      <c r="L209" s="1001">
        <v>25</v>
      </c>
      <c r="M209" s="1001">
        <v>24000</v>
      </c>
      <c r="N209" s="1001">
        <v>25</v>
      </c>
      <c r="O209" s="1001">
        <v>24000</v>
      </c>
      <c r="P209" s="1001">
        <v>25</v>
      </c>
      <c r="Q209" s="1001">
        <v>26000</v>
      </c>
      <c r="R209" s="1001"/>
      <c r="S209" s="1004"/>
      <c r="T209" s="1004"/>
    </row>
    <row r="210" spans="2:20" s="1003" customFormat="1" ht="25.5" x14ac:dyDescent="0.25">
      <c r="B210" s="998" t="s">
        <v>3238</v>
      </c>
      <c r="C210" s="1000" t="s">
        <v>3410</v>
      </c>
      <c r="D210" s="1000" t="s">
        <v>75</v>
      </c>
      <c r="E210" s="1001"/>
      <c r="F210" s="1001">
        <v>3</v>
      </c>
      <c r="G210" s="1001">
        <v>12435</v>
      </c>
      <c r="H210" s="1001">
        <v>2</v>
      </c>
      <c r="I210" s="1001">
        <v>12000</v>
      </c>
      <c r="J210" s="1001">
        <v>2</v>
      </c>
      <c r="K210" s="1001">
        <v>15000</v>
      </c>
      <c r="L210" s="1001">
        <v>2</v>
      </c>
      <c r="M210" s="1001">
        <v>15000</v>
      </c>
      <c r="N210" s="1001">
        <v>2</v>
      </c>
      <c r="O210" s="1001">
        <v>15000</v>
      </c>
      <c r="P210" s="1001">
        <v>3</v>
      </c>
      <c r="Q210" s="1001">
        <v>25000</v>
      </c>
      <c r="R210" s="1001"/>
      <c r="S210" s="1004"/>
      <c r="T210" s="1004"/>
    </row>
    <row r="211" spans="2:20" s="1003" customFormat="1" ht="38.25" x14ac:dyDescent="0.25">
      <c r="B211" s="1007" t="s">
        <v>3240</v>
      </c>
      <c r="C211" s="999" t="s">
        <v>3241</v>
      </c>
      <c r="D211" s="999" t="s">
        <v>40</v>
      </c>
      <c r="E211" s="1001"/>
      <c r="F211" s="1001">
        <v>12</v>
      </c>
      <c r="G211" s="1001">
        <v>4000</v>
      </c>
      <c r="H211" s="1001">
        <v>0</v>
      </c>
      <c r="I211" s="1001">
        <v>0</v>
      </c>
      <c r="J211" s="1001">
        <v>12</v>
      </c>
      <c r="K211" s="1001">
        <v>6000</v>
      </c>
      <c r="L211" s="1001">
        <v>12</v>
      </c>
      <c r="M211" s="1001">
        <v>7000</v>
      </c>
      <c r="N211" s="1001">
        <v>12</v>
      </c>
      <c r="O211" s="1001">
        <v>8000</v>
      </c>
      <c r="P211" s="1001">
        <v>12</v>
      </c>
      <c r="Q211" s="1001">
        <v>9000</v>
      </c>
      <c r="R211" s="1001"/>
      <c r="S211" s="1004"/>
      <c r="T211" s="1004"/>
    </row>
    <row r="212" spans="2:20" s="1003" customFormat="1" ht="38.25" x14ac:dyDescent="0.25">
      <c r="B212" s="1007" t="s">
        <v>3242</v>
      </c>
      <c r="C212" s="999" t="s">
        <v>3160</v>
      </c>
      <c r="D212" s="999" t="s">
        <v>40</v>
      </c>
      <c r="E212" s="1001"/>
      <c r="F212" s="1001">
        <v>12</v>
      </c>
      <c r="G212" s="1001">
        <v>19300</v>
      </c>
      <c r="H212" s="1001">
        <v>0</v>
      </c>
      <c r="I212" s="1001">
        <v>0</v>
      </c>
      <c r="J212" s="1001">
        <v>12</v>
      </c>
      <c r="K212" s="1001">
        <v>18000</v>
      </c>
      <c r="L212" s="1001">
        <v>12</v>
      </c>
      <c r="M212" s="1001">
        <v>50000</v>
      </c>
      <c r="N212" s="1001">
        <v>12</v>
      </c>
      <c r="O212" s="1001">
        <v>50000</v>
      </c>
      <c r="P212" s="1001">
        <v>12</v>
      </c>
      <c r="Q212" s="1001">
        <v>50000</v>
      </c>
      <c r="R212" s="1001"/>
      <c r="S212" s="1004"/>
      <c r="T212" s="1004"/>
    </row>
    <row r="213" spans="2:20" s="1003" customFormat="1" ht="38.25" x14ac:dyDescent="0.25">
      <c r="B213" s="1007" t="s">
        <v>3243</v>
      </c>
      <c r="C213" s="999" t="s">
        <v>3244</v>
      </c>
      <c r="D213" s="999" t="s">
        <v>40</v>
      </c>
      <c r="E213" s="1001"/>
      <c r="F213" s="1001">
        <v>12</v>
      </c>
      <c r="G213" s="1001">
        <v>0</v>
      </c>
      <c r="H213" s="1001">
        <v>12</v>
      </c>
      <c r="I213" s="1001">
        <v>0</v>
      </c>
      <c r="J213" s="1001">
        <v>12</v>
      </c>
      <c r="K213" s="1001">
        <v>5000</v>
      </c>
      <c r="L213" s="1001">
        <v>12</v>
      </c>
      <c r="M213" s="1001">
        <v>6000</v>
      </c>
      <c r="N213" s="1001">
        <v>12</v>
      </c>
      <c r="O213" s="1001">
        <v>7000</v>
      </c>
      <c r="P213" s="1001">
        <v>12</v>
      </c>
      <c r="Q213" s="1001">
        <v>8000</v>
      </c>
      <c r="R213" s="1001"/>
      <c r="S213" s="1004"/>
      <c r="T213" s="1004"/>
    </row>
    <row r="214" spans="2:20" s="1003" customFormat="1" ht="63.75" x14ac:dyDescent="0.25">
      <c r="B214" s="1106" t="s">
        <v>3245</v>
      </c>
      <c r="C214" s="1000" t="s">
        <v>3246</v>
      </c>
      <c r="D214" s="1000" t="s">
        <v>79</v>
      </c>
      <c r="E214" s="1001">
        <v>10</v>
      </c>
      <c r="F214" s="1001">
        <f>F215</f>
        <v>2</v>
      </c>
      <c r="G214" s="1001">
        <f>G215</f>
        <v>3000</v>
      </c>
      <c r="H214" s="1001">
        <f t="shared" ref="H214:Q214" si="24">H215</f>
        <v>2</v>
      </c>
      <c r="I214" s="1001">
        <f t="shared" si="24"/>
        <v>5000</v>
      </c>
      <c r="J214" s="1001">
        <f t="shared" si="24"/>
        <v>2</v>
      </c>
      <c r="K214" s="1001">
        <f t="shared" si="24"/>
        <v>6000</v>
      </c>
      <c r="L214" s="1001">
        <f t="shared" si="24"/>
        <v>2</v>
      </c>
      <c r="M214" s="1001">
        <f t="shared" si="24"/>
        <v>6500</v>
      </c>
      <c r="N214" s="1001">
        <f t="shared" si="24"/>
        <v>2</v>
      </c>
      <c r="O214" s="1001">
        <f t="shared" si="24"/>
        <v>7000</v>
      </c>
      <c r="P214" s="1001">
        <f t="shared" si="24"/>
        <v>2</v>
      </c>
      <c r="Q214" s="1001">
        <f t="shared" si="24"/>
        <v>7500</v>
      </c>
      <c r="R214" s="1001">
        <f>E214+F214+H214+J214+L214+N214</f>
        <v>20</v>
      </c>
      <c r="S214" s="1004"/>
      <c r="T214" s="1004"/>
    </row>
    <row r="215" spans="2:20" s="1003" customFormat="1" ht="102" x14ac:dyDescent="0.25">
      <c r="B215" s="998" t="s">
        <v>80</v>
      </c>
      <c r="C215" s="1000" t="s">
        <v>3247</v>
      </c>
      <c r="D215" s="1000" t="s">
        <v>79</v>
      </c>
      <c r="E215" s="1001"/>
      <c r="F215" s="1001">
        <v>2</v>
      </c>
      <c r="G215" s="1001">
        <v>3000</v>
      </c>
      <c r="H215" s="1001">
        <v>2</v>
      </c>
      <c r="I215" s="1001">
        <v>5000</v>
      </c>
      <c r="J215" s="1001">
        <v>2</v>
      </c>
      <c r="K215" s="1001">
        <v>6000</v>
      </c>
      <c r="L215" s="1001">
        <v>2</v>
      </c>
      <c r="M215" s="1001">
        <v>6500</v>
      </c>
      <c r="N215" s="1001">
        <v>2</v>
      </c>
      <c r="O215" s="1001">
        <v>7000</v>
      </c>
      <c r="P215" s="1001">
        <v>2</v>
      </c>
      <c r="Q215" s="1001">
        <v>7500</v>
      </c>
      <c r="R215" s="1001"/>
      <c r="S215" s="1004"/>
      <c r="T215" s="1004"/>
    </row>
    <row r="216" spans="2:20" s="1003" customFormat="1" ht="48" x14ac:dyDescent="0.25">
      <c r="B216" s="1106" t="s">
        <v>3411</v>
      </c>
      <c r="C216" s="1000" t="s">
        <v>3249</v>
      </c>
      <c r="D216" s="1000" t="s">
        <v>79</v>
      </c>
      <c r="E216" s="1001">
        <v>5</v>
      </c>
      <c r="F216" s="1001">
        <v>1</v>
      </c>
      <c r="G216" s="1001">
        <v>5600</v>
      </c>
      <c r="H216" s="1001">
        <f t="shared" ref="H216:P217" si="25">H217</f>
        <v>1</v>
      </c>
      <c r="I216" s="1001">
        <v>6300</v>
      </c>
      <c r="J216" s="1001">
        <f t="shared" si="25"/>
        <v>1</v>
      </c>
      <c r="K216" s="1001">
        <v>7000</v>
      </c>
      <c r="L216" s="1001">
        <f t="shared" si="25"/>
        <v>1</v>
      </c>
      <c r="M216" s="1001">
        <v>7500</v>
      </c>
      <c r="N216" s="1001">
        <f t="shared" si="25"/>
        <v>1</v>
      </c>
      <c r="O216" s="1001">
        <v>8000</v>
      </c>
      <c r="P216" s="1001">
        <f t="shared" si="25"/>
        <v>1</v>
      </c>
      <c r="Q216" s="1001">
        <v>8500</v>
      </c>
      <c r="R216" s="1001">
        <f>E216+F216+H216+J216+L216+N216</f>
        <v>10</v>
      </c>
      <c r="S216" s="1004"/>
      <c r="T216" s="1004"/>
    </row>
    <row r="217" spans="2:20" s="1003" customFormat="1" ht="63.75" x14ac:dyDescent="0.25">
      <c r="B217" s="998" t="s">
        <v>1712</v>
      </c>
      <c r="C217" s="1000" t="s">
        <v>3250</v>
      </c>
      <c r="D217" s="1000"/>
      <c r="E217" s="1001"/>
      <c r="F217" s="1001">
        <v>1</v>
      </c>
      <c r="G217" s="1001">
        <v>5600</v>
      </c>
      <c r="H217" s="1001">
        <f t="shared" si="25"/>
        <v>1</v>
      </c>
      <c r="I217" s="1001">
        <v>6300</v>
      </c>
      <c r="J217" s="1001">
        <f t="shared" si="25"/>
        <v>1</v>
      </c>
      <c r="K217" s="1001">
        <v>7000</v>
      </c>
      <c r="L217" s="1001">
        <f t="shared" si="25"/>
        <v>1</v>
      </c>
      <c r="M217" s="1001">
        <v>7500</v>
      </c>
      <c r="N217" s="1001">
        <f t="shared" si="25"/>
        <v>1</v>
      </c>
      <c r="O217" s="1001">
        <v>8000</v>
      </c>
      <c r="P217" s="1001">
        <f t="shared" si="25"/>
        <v>1</v>
      </c>
      <c r="Q217" s="1001">
        <v>8500</v>
      </c>
      <c r="R217" s="1001"/>
      <c r="S217" s="1004"/>
      <c r="T217" s="1004"/>
    </row>
    <row r="218" spans="2:20" s="1003" customFormat="1" ht="63.75" customHeight="1" x14ac:dyDescent="0.25">
      <c r="B218" s="1065" t="s">
        <v>3251</v>
      </c>
      <c r="C218" s="1000" t="s">
        <v>3252</v>
      </c>
      <c r="D218" s="1000" t="s">
        <v>79</v>
      </c>
      <c r="E218" s="1001">
        <v>5</v>
      </c>
      <c r="F218" s="1001">
        <v>1</v>
      </c>
      <c r="G218" s="1006">
        <f>SUM(G220:G221)</f>
        <v>12600</v>
      </c>
      <c r="H218" s="1001">
        <v>1</v>
      </c>
      <c r="I218" s="1006">
        <f>SUM(I220:I221)</f>
        <v>14000</v>
      </c>
      <c r="J218" s="1001">
        <v>1</v>
      </c>
      <c r="K218" s="1006">
        <f>SUM(K220:K221)</f>
        <v>36000</v>
      </c>
      <c r="L218" s="1001">
        <v>1</v>
      </c>
      <c r="M218" s="1006">
        <f>SUM(M220:M221)</f>
        <v>42000</v>
      </c>
      <c r="N218" s="1001">
        <v>1</v>
      </c>
      <c r="O218" s="1006">
        <f>SUM(O220:O221)</f>
        <v>48000</v>
      </c>
      <c r="P218" s="1001">
        <v>1</v>
      </c>
      <c r="Q218" s="1006">
        <f>SUM(Q220:Q221)</f>
        <v>54000</v>
      </c>
      <c r="R218" s="1001">
        <f>E218+F218+H218+J218+L218+N218</f>
        <v>10</v>
      </c>
      <c r="S218" s="1004"/>
      <c r="T218" s="1004"/>
    </row>
    <row r="219" spans="2:20" s="1003" customFormat="1" ht="38.25" x14ac:dyDescent="0.25">
      <c r="B219" s="1066"/>
      <c r="C219" s="1000" t="s">
        <v>3253</v>
      </c>
      <c r="D219" s="1000" t="s">
        <v>79</v>
      </c>
      <c r="E219" s="1001">
        <v>5</v>
      </c>
      <c r="F219" s="1001">
        <v>1</v>
      </c>
      <c r="G219" s="1006">
        <v>0</v>
      </c>
      <c r="H219" s="1001">
        <v>1</v>
      </c>
      <c r="I219" s="1006">
        <v>0</v>
      </c>
      <c r="J219" s="1001">
        <v>1</v>
      </c>
      <c r="K219" s="1006">
        <v>6000</v>
      </c>
      <c r="L219" s="1001">
        <v>1</v>
      </c>
      <c r="M219" s="1006">
        <v>7000</v>
      </c>
      <c r="N219" s="1001">
        <v>1</v>
      </c>
      <c r="O219" s="1006">
        <v>8000</v>
      </c>
      <c r="P219" s="1001">
        <v>1</v>
      </c>
      <c r="Q219" s="1006">
        <v>9000</v>
      </c>
      <c r="R219" s="1001">
        <f>E219+F219+H219+J219+L219+N219</f>
        <v>10</v>
      </c>
      <c r="S219" s="1004"/>
      <c r="T219" s="1004"/>
    </row>
    <row r="220" spans="2:20" s="1003" customFormat="1" ht="38.25" x14ac:dyDescent="0.25">
      <c r="B220" s="998" t="s">
        <v>3254</v>
      </c>
      <c r="C220" s="1000" t="s">
        <v>3255</v>
      </c>
      <c r="D220" s="1000" t="s">
        <v>103</v>
      </c>
      <c r="E220" s="1001"/>
      <c r="F220" s="1001">
        <v>2</v>
      </c>
      <c r="G220" s="1001">
        <v>12600</v>
      </c>
      <c r="H220" s="1001">
        <v>2</v>
      </c>
      <c r="I220" s="1001">
        <v>14000</v>
      </c>
      <c r="J220" s="1001">
        <v>2</v>
      </c>
      <c r="K220" s="1001">
        <v>30000</v>
      </c>
      <c r="L220" s="1001">
        <v>2</v>
      </c>
      <c r="M220" s="1001">
        <v>35000</v>
      </c>
      <c r="N220" s="1001">
        <v>2</v>
      </c>
      <c r="O220" s="1001">
        <v>40000</v>
      </c>
      <c r="P220" s="1001">
        <v>2</v>
      </c>
      <c r="Q220" s="1001">
        <v>45000</v>
      </c>
      <c r="R220" s="1001"/>
      <c r="S220" s="1004"/>
      <c r="T220" s="1004"/>
    </row>
    <row r="221" spans="2:20" s="1003" customFormat="1" ht="51" x14ac:dyDescent="0.25">
      <c r="B221" s="998" t="s">
        <v>3256</v>
      </c>
      <c r="C221" s="1000" t="s">
        <v>3257</v>
      </c>
      <c r="D221" s="1000" t="s">
        <v>103</v>
      </c>
      <c r="E221" s="1001"/>
      <c r="F221" s="1001">
        <v>0</v>
      </c>
      <c r="G221" s="1001">
        <v>0</v>
      </c>
      <c r="H221" s="1001">
        <v>0</v>
      </c>
      <c r="I221" s="1001">
        <v>0</v>
      </c>
      <c r="J221" s="1001">
        <v>10</v>
      </c>
      <c r="K221" s="1001">
        <v>6000</v>
      </c>
      <c r="L221" s="1001">
        <v>10</v>
      </c>
      <c r="M221" s="1001">
        <v>7000</v>
      </c>
      <c r="N221" s="1001">
        <v>10</v>
      </c>
      <c r="O221" s="1001">
        <v>8000</v>
      </c>
      <c r="P221" s="1001">
        <v>10</v>
      </c>
      <c r="Q221" s="1001">
        <v>9000</v>
      </c>
      <c r="R221" s="1001"/>
      <c r="S221" s="1004"/>
      <c r="T221" s="1004"/>
    </row>
    <row r="222" spans="2:20" s="1003" customFormat="1" ht="60" x14ac:dyDescent="0.25">
      <c r="B222" s="1106" t="s">
        <v>3412</v>
      </c>
      <c r="C222" s="1000" t="s">
        <v>3413</v>
      </c>
      <c r="D222" s="1000" t="s">
        <v>100</v>
      </c>
      <c r="E222" s="1001"/>
      <c r="F222" s="1001">
        <f t="shared" ref="F222:Q222" si="26">SUM(F223:F223)</f>
        <v>14</v>
      </c>
      <c r="G222" s="1001">
        <f t="shared" si="26"/>
        <v>3000</v>
      </c>
      <c r="H222" s="1001">
        <f t="shared" si="26"/>
        <v>14</v>
      </c>
      <c r="I222" s="1001">
        <f t="shared" si="26"/>
        <v>3000</v>
      </c>
      <c r="J222" s="1001">
        <f t="shared" si="26"/>
        <v>14</v>
      </c>
      <c r="K222" s="1001">
        <f t="shared" si="26"/>
        <v>5000</v>
      </c>
      <c r="L222" s="1001">
        <f t="shared" si="26"/>
        <v>14</v>
      </c>
      <c r="M222" s="1001">
        <f t="shared" si="26"/>
        <v>5500</v>
      </c>
      <c r="N222" s="1001">
        <f t="shared" si="26"/>
        <v>14</v>
      </c>
      <c r="O222" s="1001">
        <f t="shared" si="26"/>
        <v>6000</v>
      </c>
      <c r="P222" s="1001">
        <f t="shared" si="26"/>
        <v>14</v>
      </c>
      <c r="Q222" s="1001">
        <f t="shared" si="26"/>
        <v>6500</v>
      </c>
      <c r="R222" s="1001"/>
      <c r="S222" s="1004"/>
      <c r="T222" s="1004"/>
    </row>
    <row r="223" spans="2:20" s="1003" customFormat="1" ht="38.25" x14ac:dyDescent="0.25">
      <c r="B223" s="1008" t="s">
        <v>3414</v>
      </c>
      <c r="C223" s="1000" t="s">
        <v>3415</v>
      </c>
      <c r="D223" s="1000" t="s">
        <v>97</v>
      </c>
      <c r="E223" s="1001"/>
      <c r="F223" s="1001">
        <v>14</v>
      </c>
      <c r="G223" s="1001">
        <v>3000</v>
      </c>
      <c r="H223" s="1001">
        <v>14</v>
      </c>
      <c r="I223" s="1001">
        <v>3000</v>
      </c>
      <c r="J223" s="1001">
        <v>14</v>
      </c>
      <c r="K223" s="1001">
        <v>5000</v>
      </c>
      <c r="L223" s="1001">
        <v>14</v>
      </c>
      <c r="M223" s="1001">
        <v>5500</v>
      </c>
      <c r="N223" s="1001">
        <v>14</v>
      </c>
      <c r="O223" s="1001">
        <v>6000</v>
      </c>
      <c r="P223" s="1001">
        <v>14</v>
      </c>
      <c r="Q223" s="1001">
        <v>6500</v>
      </c>
      <c r="R223" s="1001"/>
      <c r="S223" s="1004"/>
      <c r="T223" s="1004"/>
    </row>
    <row r="224" spans="2:20" s="1003" customFormat="1" ht="72" x14ac:dyDescent="0.25">
      <c r="B224" s="1063" t="s">
        <v>3416</v>
      </c>
      <c r="C224" s="1000" t="s">
        <v>3417</v>
      </c>
      <c r="D224" s="1000" t="s">
        <v>40</v>
      </c>
      <c r="E224" s="1001"/>
      <c r="F224" s="1001">
        <f t="shared" ref="F224:Q224" si="27">SUM(F225:F225)</f>
        <v>12</v>
      </c>
      <c r="G224" s="1001">
        <f t="shared" si="27"/>
        <v>3000</v>
      </c>
      <c r="H224" s="1001">
        <f t="shared" si="27"/>
        <v>12</v>
      </c>
      <c r="I224" s="1001">
        <f t="shared" si="27"/>
        <v>4000</v>
      </c>
      <c r="J224" s="1001">
        <f t="shared" si="27"/>
        <v>12</v>
      </c>
      <c r="K224" s="1001">
        <f t="shared" si="27"/>
        <v>6000</v>
      </c>
      <c r="L224" s="1001">
        <f t="shared" si="27"/>
        <v>12</v>
      </c>
      <c r="M224" s="1001">
        <f t="shared" si="27"/>
        <v>7000</v>
      </c>
      <c r="N224" s="1001">
        <f t="shared" si="27"/>
        <v>12</v>
      </c>
      <c r="O224" s="1001">
        <f t="shared" si="27"/>
        <v>8000</v>
      </c>
      <c r="P224" s="1001">
        <f t="shared" si="27"/>
        <v>12</v>
      </c>
      <c r="Q224" s="1001">
        <f t="shared" si="27"/>
        <v>9000</v>
      </c>
      <c r="R224" s="1001"/>
      <c r="S224" s="1004"/>
      <c r="T224" s="1004"/>
    </row>
    <row r="225" spans="2:20" s="1003" customFormat="1" ht="51" x14ac:dyDescent="0.25">
      <c r="B225" s="1008" t="s">
        <v>3418</v>
      </c>
      <c r="C225" s="1000" t="s">
        <v>3419</v>
      </c>
      <c r="D225" s="1000" t="s">
        <v>40</v>
      </c>
      <c r="E225" s="1001"/>
      <c r="F225" s="1001">
        <v>12</v>
      </c>
      <c r="G225" s="1001">
        <v>3000</v>
      </c>
      <c r="H225" s="1001">
        <v>12</v>
      </c>
      <c r="I225" s="1001">
        <v>4000</v>
      </c>
      <c r="J225" s="1001">
        <v>12</v>
      </c>
      <c r="K225" s="1001">
        <v>6000</v>
      </c>
      <c r="L225" s="1001">
        <v>12</v>
      </c>
      <c r="M225" s="1001">
        <v>7000</v>
      </c>
      <c r="N225" s="1001">
        <v>12</v>
      </c>
      <c r="O225" s="1001">
        <v>8000</v>
      </c>
      <c r="P225" s="1001">
        <v>12</v>
      </c>
      <c r="Q225" s="1001">
        <v>9000</v>
      </c>
      <c r="R225" s="1001"/>
      <c r="S225" s="1004"/>
      <c r="T225" s="1004"/>
    </row>
    <row r="226" spans="2:20" s="1003" customFormat="1" ht="51" x14ac:dyDescent="0.25">
      <c r="B226" s="1106" t="s">
        <v>3420</v>
      </c>
      <c r="C226" s="1000" t="s">
        <v>3386</v>
      </c>
      <c r="D226" s="1000" t="s">
        <v>19</v>
      </c>
      <c r="E226" s="1001">
        <v>100</v>
      </c>
      <c r="F226" s="1001">
        <f>SUM(F227:F228)</f>
        <v>12</v>
      </c>
      <c r="G226" s="1001">
        <f>SUM(G227:G228)</f>
        <v>53165</v>
      </c>
      <c r="H226" s="1001">
        <f t="shared" ref="H226:Q226" si="28">SUM(H227:H228)</f>
        <v>12</v>
      </c>
      <c r="I226" s="1001">
        <f t="shared" si="28"/>
        <v>51000</v>
      </c>
      <c r="J226" s="1001">
        <f t="shared" si="28"/>
        <v>14</v>
      </c>
      <c r="K226" s="1001">
        <f t="shared" si="28"/>
        <v>63000</v>
      </c>
      <c r="L226" s="1001">
        <f t="shared" si="28"/>
        <v>14</v>
      </c>
      <c r="M226" s="1001">
        <f t="shared" si="28"/>
        <v>65000</v>
      </c>
      <c r="N226" s="1001">
        <f t="shared" si="28"/>
        <v>14</v>
      </c>
      <c r="O226" s="1001">
        <f t="shared" si="28"/>
        <v>67000</v>
      </c>
      <c r="P226" s="1001">
        <f t="shared" si="28"/>
        <v>14</v>
      </c>
      <c r="Q226" s="1001">
        <f t="shared" si="28"/>
        <v>69000</v>
      </c>
      <c r="R226" s="1001">
        <v>100</v>
      </c>
      <c r="S226" s="1004"/>
      <c r="T226" s="1004"/>
    </row>
    <row r="227" spans="2:20" s="1003" customFormat="1" ht="25.5" x14ac:dyDescent="0.25">
      <c r="B227" s="998" t="s">
        <v>3421</v>
      </c>
      <c r="C227" s="1000" t="s">
        <v>3422</v>
      </c>
      <c r="D227" s="1000" t="s">
        <v>40</v>
      </c>
      <c r="E227" s="1001"/>
      <c r="F227" s="1001">
        <v>12</v>
      </c>
      <c r="G227" s="1001">
        <v>53165</v>
      </c>
      <c r="H227" s="1001">
        <v>12</v>
      </c>
      <c r="I227" s="1001">
        <v>51000</v>
      </c>
      <c r="J227" s="1001">
        <v>12</v>
      </c>
      <c r="K227" s="1001">
        <v>58000</v>
      </c>
      <c r="L227" s="1001">
        <v>12</v>
      </c>
      <c r="M227" s="1001">
        <v>60000</v>
      </c>
      <c r="N227" s="1001">
        <v>12</v>
      </c>
      <c r="O227" s="1001">
        <v>62000</v>
      </c>
      <c r="P227" s="1001">
        <v>12</v>
      </c>
      <c r="Q227" s="1001">
        <v>64000</v>
      </c>
      <c r="R227" s="1001"/>
      <c r="S227" s="1004"/>
      <c r="T227" s="1004"/>
    </row>
    <row r="228" spans="2:20" s="1003" customFormat="1" ht="38.25" x14ac:dyDescent="0.25">
      <c r="B228" s="998" t="s">
        <v>3423</v>
      </c>
      <c r="C228" s="1000" t="s">
        <v>3424</v>
      </c>
      <c r="D228" s="1000"/>
      <c r="E228" s="1001"/>
      <c r="F228" s="1001">
        <v>0</v>
      </c>
      <c r="G228" s="1001">
        <v>0</v>
      </c>
      <c r="H228" s="1001">
        <v>0</v>
      </c>
      <c r="I228" s="1001">
        <v>0</v>
      </c>
      <c r="J228" s="1001">
        <v>2</v>
      </c>
      <c r="K228" s="1001">
        <v>5000</v>
      </c>
      <c r="L228" s="1001">
        <v>2</v>
      </c>
      <c r="M228" s="1001">
        <v>5000</v>
      </c>
      <c r="N228" s="1001">
        <v>2</v>
      </c>
      <c r="O228" s="1001">
        <v>5000</v>
      </c>
      <c r="P228" s="1001">
        <v>2</v>
      </c>
      <c r="Q228" s="1001">
        <v>5000</v>
      </c>
      <c r="R228" s="1001"/>
      <c r="S228" s="1004"/>
      <c r="T228" s="1004"/>
    </row>
    <row r="229" spans="2:20" s="1003" customFormat="1" ht="84" x14ac:dyDescent="0.25">
      <c r="B229" s="1106" t="s">
        <v>1743</v>
      </c>
      <c r="C229" s="1000" t="s">
        <v>3265</v>
      </c>
      <c r="D229" s="1000" t="s">
        <v>19</v>
      </c>
      <c r="E229" s="1001">
        <v>50</v>
      </c>
      <c r="F229" s="1001">
        <f>SUM(F230:F231)</f>
        <v>28</v>
      </c>
      <c r="G229" s="1001">
        <f>SUM(G230:G231)</f>
        <v>25200</v>
      </c>
      <c r="H229" s="1001">
        <f t="shared" ref="H229:Q229" si="29">SUM(H230:H231)</f>
        <v>28</v>
      </c>
      <c r="I229" s="1001">
        <f t="shared" si="29"/>
        <v>26600</v>
      </c>
      <c r="J229" s="1001">
        <f t="shared" si="29"/>
        <v>28</v>
      </c>
      <c r="K229" s="1001">
        <f t="shared" si="29"/>
        <v>29000</v>
      </c>
      <c r="L229" s="1001">
        <f t="shared" si="29"/>
        <v>28</v>
      </c>
      <c r="M229" s="1001">
        <f t="shared" si="29"/>
        <v>31000</v>
      </c>
      <c r="N229" s="1001">
        <f t="shared" si="29"/>
        <v>28</v>
      </c>
      <c r="O229" s="1001">
        <f t="shared" si="29"/>
        <v>33000</v>
      </c>
      <c r="P229" s="1001">
        <f t="shared" si="29"/>
        <v>28</v>
      </c>
      <c r="Q229" s="1001">
        <f t="shared" si="29"/>
        <v>35000</v>
      </c>
      <c r="R229" s="1001">
        <v>100</v>
      </c>
      <c r="S229" s="1004"/>
      <c r="T229" s="1004"/>
    </row>
    <row r="230" spans="2:20" s="1003" customFormat="1" ht="25.5" x14ac:dyDescent="0.25">
      <c r="B230" s="998" t="s">
        <v>3266</v>
      </c>
      <c r="C230" s="1000" t="s">
        <v>3267</v>
      </c>
      <c r="D230" s="1000" t="s">
        <v>97</v>
      </c>
      <c r="E230" s="1001"/>
      <c r="F230" s="1001">
        <v>14</v>
      </c>
      <c r="G230" s="1001">
        <v>18200</v>
      </c>
      <c r="H230" s="1001">
        <v>14</v>
      </c>
      <c r="I230" s="1001">
        <v>19600</v>
      </c>
      <c r="J230" s="1001">
        <v>14</v>
      </c>
      <c r="K230" s="1001">
        <v>21000</v>
      </c>
      <c r="L230" s="1001">
        <v>14</v>
      </c>
      <c r="M230" s="1001">
        <v>22000</v>
      </c>
      <c r="N230" s="1001">
        <v>14</v>
      </c>
      <c r="O230" s="1001">
        <v>23000</v>
      </c>
      <c r="P230" s="1001">
        <v>14</v>
      </c>
      <c r="Q230" s="1001">
        <v>24000</v>
      </c>
      <c r="R230" s="1001"/>
      <c r="S230" s="1004"/>
      <c r="T230" s="1004"/>
    </row>
    <row r="231" spans="2:20" s="1003" customFormat="1" ht="76.5" x14ac:dyDescent="0.25">
      <c r="B231" s="998" t="s">
        <v>3390</v>
      </c>
      <c r="C231" s="1000" t="s">
        <v>3273</v>
      </c>
      <c r="D231" s="1000" t="s">
        <v>97</v>
      </c>
      <c r="E231" s="1001"/>
      <c r="F231" s="1001">
        <v>14</v>
      </c>
      <c r="G231" s="1001">
        <v>7000</v>
      </c>
      <c r="H231" s="1001">
        <v>14</v>
      </c>
      <c r="I231" s="1001">
        <v>7000</v>
      </c>
      <c r="J231" s="1001">
        <v>14</v>
      </c>
      <c r="K231" s="1001">
        <v>8000</v>
      </c>
      <c r="L231" s="1001">
        <v>14</v>
      </c>
      <c r="M231" s="1001">
        <v>9000</v>
      </c>
      <c r="N231" s="1001">
        <v>14</v>
      </c>
      <c r="O231" s="1001">
        <v>10000</v>
      </c>
      <c r="P231" s="1001">
        <v>14</v>
      </c>
      <c r="Q231" s="1001">
        <v>11000</v>
      </c>
      <c r="R231" s="1001"/>
      <c r="S231" s="1004"/>
      <c r="T231" s="1004"/>
    </row>
    <row r="232" spans="2:20" s="1003" customFormat="1" ht="76.5" customHeight="1" x14ac:dyDescent="0.25">
      <c r="B232" s="1063" t="s">
        <v>3425</v>
      </c>
      <c r="C232" s="1000" t="s">
        <v>3274</v>
      </c>
      <c r="D232" s="1000" t="s">
        <v>79</v>
      </c>
      <c r="E232" s="1001">
        <v>1</v>
      </c>
      <c r="F232" s="1001">
        <v>1</v>
      </c>
      <c r="G232" s="1001">
        <f>G233</f>
        <v>4200</v>
      </c>
      <c r="H232" s="1001">
        <v>1</v>
      </c>
      <c r="I232" s="1001">
        <f>I233</f>
        <v>4900</v>
      </c>
      <c r="J232" s="1001">
        <v>1</v>
      </c>
      <c r="K232" s="1001">
        <v>5500</v>
      </c>
      <c r="L232" s="1001">
        <v>1</v>
      </c>
      <c r="M232" s="1001">
        <v>6000</v>
      </c>
      <c r="N232" s="1001">
        <v>1</v>
      </c>
      <c r="O232" s="1001">
        <v>6500</v>
      </c>
      <c r="P232" s="1001">
        <v>1</v>
      </c>
      <c r="Q232" s="1001">
        <v>7000</v>
      </c>
      <c r="R232" s="1001">
        <f>E232+F232+H232+J232+L232+N232</f>
        <v>6</v>
      </c>
      <c r="S232" s="1004"/>
      <c r="T232" s="1004"/>
    </row>
    <row r="233" spans="2:20" s="1003" customFormat="1" ht="25.5" x14ac:dyDescent="0.25">
      <c r="B233" s="1008" t="s">
        <v>3277</v>
      </c>
      <c r="C233" s="1000" t="s">
        <v>3278</v>
      </c>
      <c r="D233" s="1000" t="s">
        <v>103</v>
      </c>
      <c r="E233" s="1001"/>
      <c r="F233" s="1001">
        <v>14</v>
      </c>
      <c r="G233" s="1001">
        <v>4200</v>
      </c>
      <c r="H233" s="1001">
        <v>14</v>
      </c>
      <c r="I233" s="1001">
        <v>4900</v>
      </c>
      <c r="J233" s="1001">
        <v>14</v>
      </c>
      <c r="K233" s="1001">
        <v>5500</v>
      </c>
      <c r="L233" s="1001">
        <v>14</v>
      </c>
      <c r="M233" s="1001">
        <v>6000</v>
      </c>
      <c r="N233" s="1001">
        <v>14</v>
      </c>
      <c r="O233" s="1001">
        <v>6500</v>
      </c>
      <c r="P233" s="1001">
        <v>14</v>
      </c>
      <c r="Q233" s="1001">
        <v>7000</v>
      </c>
      <c r="R233" s="1001"/>
      <c r="S233" s="1004"/>
      <c r="T233" s="1004"/>
    </row>
    <row r="234" spans="2:20" s="1003" customFormat="1" ht="63.75" customHeight="1" x14ac:dyDescent="0.25">
      <c r="B234" s="1063" t="s">
        <v>3280</v>
      </c>
      <c r="C234" s="1000" t="s">
        <v>3279</v>
      </c>
      <c r="D234" s="1000" t="s">
        <v>327</v>
      </c>
      <c r="E234" s="1001">
        <v>16</v>
      </c>
      <c r="F234" s="1001">
        <f>SUM(F235:F238)</f>
        <v>118</v>
      </c>
      <c r="G234" s="1001">
        <f t="shared" ref="G234:Q234" si="30">SUM(G235:G238)</f>
        <v>11000</v>
      </c>
      <c r="H234" s="1001">
        <f t="shared" si="30"/>
        <v>118</v>
      </c>
      <c r="I234" s="1001">
        <f t="shared" si="30"/>
        <v>8073</v>
      </c>
      <c r="J234" s="1001">
        <f t="shared" si="30"/>
        <v>118</v>
      </c>
      <c r="K234" s="1001">
        <f t="shared" si="30"/>
        <v>20000</v>
      </c>
      <c r="L234" s="1001">
        <f t="shared" si="30"/>
        <v>118</v>
      </c>
      <c r="M234" s="1001">
        <f t="shared" si="30"/>
        <v>23000</v>
      </c>
      <c r="N234" s="1001">
        <f t="shared" si="30"/>
        <v>118</v>
      </c>
      <c r="O234" s="1001">
        <f t="shared" si="30"/>
        <v>26000</v>
      </c>
      <c r="P234" s="1001">
        <f t="shared" si="30"/>
        <v>118</v>
      </c>
      <c r="Q234" s="1001">
        <f t="shared" si="30"/>
        <v>29000</v>
      </c>
      <c r="R234" s="1001">
        <f>N234</f>
        <v>118</v>
      </c>
      <c r="S234" s="1004"/>
      <c r="T234" s="1004"/>
    </row>
    <row r="235" spans="2:20" s="1003" customFormat="1" ht="38.25" x14ac:dyDescent="0.25">
      <c r="B235" s="1008" t="s">
        <v>1298</v>
      </c>
      <c r="C235" s="1000" t="s">
        <v>3426</v>
      </c>
      <c r="D235" s="1000" t="s">
        <v>327</v>
      </c>
      <c r="E235" s="1001"/>
      <c r="F235" s="1001">
        <v>28</v>
      </c>
      <c r="G235" s="1001">
        <v>7000</v>
      </c>
      <c r="H235" s="1001">
        <v>28</v>
      </c>
      <c r="I235" s="1001">
        <v>3573</v>
      </c>
      <c r="J235" s="1001">
        <v>28</v>
      </c>
      <c r="K235" s="1001">
        <v>5000</v>
      </c>
      <c r="L235" s="1001">
        <v>28</v>
      </c>
      <c r="M235" s="1001">
        <v>6000</v>
      </c>
      <c r="N235" s="1001">
        <v>28</v>
      </c>
      <c r="O235" s="1001">
        <v>7000</v>
      </c>
      <c r="P235" s="1001">
        <v>28</v>
      </c>
      <c r="Q235" s="1001">
        <v>8000</v>
      </c>
      <c r="R235" s="1001"/>
      <c r="S235" s="1004"/>
      <c r="T235" s="1004"/>
    </row>
    <row r="236" spans="2:20" s="1003" customFormat="1" ht="38.25" x14ac:dyDescent="0.25">
      <c r="B236" s="1008" t="s">
        <v>3282</v>
      </c>
      <c r="C236" s="1000" t="s">
        <v>3427</v>
      </c>
      <c r="D236" s="1000" t="s">
        <v>327</v>
      </c>
      <c r="E236" s="1001"/>
      <c r="F236" s="1001">
        <v>20</v>
      </c>
      <c r="G236" s="1001">
        <v>4000</v>
      </c>
      <c r="H236" s="1001">
        <v>20</v>
      </c>
      <c r="I236" s="1001">
        <v>4500</v>
      </c>
      <c r="J236" s="1001">
        <v>20</v>
      </c>
      <c r="K236" s="1001">
        <v>5000</v>
      </c>
      <c r="L236" s="1001">
        <v>20</v>
      </c>
      <c r="M236" s="1001">
        <v>6000</v>
      </c>
      <c r="N236" s="1001">
        <v>20</v>
      </c>
      <c r="O236" s="1001">
        <v>7000</v>
      </c>
      <c r="P236" s="1001">
        <v>20</v>
      </c>
      <c r="Q236" s="1001">
        <v>8000</v>
      </c>
      <c r="R236" s="1001"/>
      <c r="S236" s="1004"/>
      <c r="T236" s="1004"/>
    </row>
    <row r="237" spans="2:20" s="1003" customFormat="1" ht="38.25" x14ac:dyDescent="0.25">
      <c r="B237" s="1008" t="s">
        <v>3428</v>
      </c>
      <c r="C237" s="1000" t="s">
        <v>3429</v>
      </c>
      <c r="D237" s="1000" t="s">
        <v>100</v>
      </c>
      <c r="E237" s="1001"/>
      <c r="F237" s="1001">
        <v>50</v>
      </c>
      <c r="G237" s="1001">
        <v>0</v>
      </c>
      <c r="H237" s="1001">
        <v>50</v>
      </c>
      <c r="I237" s="1001">
        <v>0</v>
      </c>
      <c r="J237" s="1001">
        <v>50</v>
      </c>
      <c r="K237" s="1001">
        <v>5000</v>
      </c>
      <c r="L237" s="1001">
        <v>50</v>
      </c>
      <c r="M237" s="1001">
        <v>5500</v>
      </c>
      <c r="N237" s="1001">
        <v>50</v>
      </c>
      <c r="O237" s="1001">
        <v>6000</v>
      </c>
      <c r="P237" s="1001">
        <v>50</v>
      </c>
      <c r="Q237" s="1001">
        <v>6500</v>
      </c>
      <c r="R237" s="1001"/>
      <c r="S237" s="1004"/>
      <c r="T237" s="1004"/>
    </row>
    <row r="238" spans="2:20" s="1003" customFormat="1" ht="38.25" x14ac:dyDescent="0.25">
      <c r="B238" s="1008" t="s">
        <v>3430</v>
      </c>
      <c r="C238" s="1000" t="s">
        <v>3431</v>
      </c>
      <c r="D238" s="1000" t="s">
        <v>1063</v>
      </c>
      <c r="E238" s="1001"/>
      <c r="F238" s="1001">
        <v>20</v>
      </c>
      <c r="G238" s="1001">
        <v>0</v>
      </c>
      <c r="H238" s="1001">
        <v>20</v>
      </c>
      <c r="I238" s="1001">
        <v>0</v>
      </c>
      <c r="J238" s="1001">
        <v>20</v>
      </c>
      <c r="K238" s="1001">
        <v>5000</v>
      </c>
      <c r="L238" s="1001">
        <v>20</v>
      </c>
      <c r="M238" s="1001">
        <v>5500</v>
      </c>
      <c r="N238" s="1001">
        <v>20</v>
      </c>
      <c r="O238" s="1001">
        <v>6000</v>
      </c>
      <c r="P238" s="1001">
        <v>20</v>
      </c>
      <c r="Q238" s="1001">
        <v>6500</v>
      </c>
      <c r="R238" s="1001"/>
      <c r="S238" s="1004"/>
      <c r="T238" s="1004"/>
    </row>
    <row r="239" spans="2:20" s="1003" customFormat="1" ht="60" x14ac:dyDescent="0.25">
      <c r="B239" s="1106" t="s">
        <v>3284</v>
      </c>
      <c r="C239" s="1009" t="s">
        <v>3285</v>
      </c>
      <c r="D239" s="1009" t="s">
        <v>364</v>
      </c>
      <c r="E239" s="1001">
        <v>100</v>
      </c>
      <c r="F239" s="1001">
        <f>SUM(F240:F244)</f>
        <v>85</v>
      </c>
      <c r="G239" s="1001">
        <f>G240</f>
        <v>0</v>
      </c>
      <c r="H239" s="1001">
        <f>SUM(H240:H244)</f>
        <v>85</v>
      </c>
      <c r="I239" s="1001">
        <f>SUM(I240:I244)</f>
        <v>5500</v>
      </c>
      <c r="J239" s="1001">
        <f>SUM(J240:J244)</f>
        <v>85</v>
      </c>
      <c r="K239" s="1001">
        <f>SUM(K240:K244)</f>
        <v>26000</v>
      </c>
      <c r="L239" s="1001">
        <f t="shared" ref="L239:Q239" si="31">SUM(L240:L244)</f>
        <v>85</v>
      </c>
      <c r="M239" s="1001">
        <f t="shared" si="31"/>
        <v>28000</v>
      </c>
      <c r="N239" s="1001">
        <f t="shared" si="31"/>
        <v>85</v>
      </c>
      <c r="O239" s="1001">
        <f t="shared" si="31"/>
        <v>30000</v>
      </c>
      <c r="P239" s="1001">
        <f t="shared" si="31"/>
        <v>85</v>
      </c>
      <c r="Q239" s="1001">
        <f t="shared" si="31"/>
        <v>32000</v>
      </c>
      <c r="R239" s="1001">
        <f>N239</f>
        <v>85</v>
      </c>
      <c r="S239" s="1004"/>
      <c r="T239" s="1004"/>
    </row>
    <row r="240" spans="2:20" s="1003" customFormat="1" ht="63.75" x14ac:dyDescent="0.25">
      <c r="B240" s="998" t="s">
        <v>3286</v>
      </c>
      <c r="C240" s="1009" t="s">
        <v>3287</v>
      </c>
      <c r="D240" s="1009" t="s">
        <v>100</v>
      </c>
      <c r="E240" s="1001"/>
      <c r="F240" s="1001">
        <v>28</v>
      </c>
      <c r="G240" s="1001">
        <f>SUM(G241:G244)</f>
        <v>0</v>
      </c>
      <c r="H240" s="1001">
        <v>28</v>
      </c>
      <c r="I240" s="1001">
        <v>5500</v>
      </c>
      <c r="J240" s="1001">
        <v>28</v>
      </c>
      <c r="K240" s="1001">
        <v>5000</v>
      </c>
      <c r="L240" s="1001">
        <v>28</v>
      </c>
      <c r="M240" s="1001">
        <v>5500</v>
      </c>
      <c r="N240" s="1001">
        <v>28</v>
      </c>
      <c r="O240" s="1001">
        <v>6000</v>
      </c>
      <c r="P240" s="1001">
        <v>28</v>
      </c>
      <c r="Q240" s="1001">
        <v>6500</v>
      </c>
      <c r="R240" s="1001"/>
      <c r="S240" s="1004"/>
      <c r="T240" s="1004"/>
    </row>
    <row r="241" spans="2:20" s="1003" customFormat="1" ht="114.75" x14ac:dyDescent="0.25">
      <c r="B241" s="998" t="s">
        <v>3432</v>
      </c>
      <c r="C241" s="1009" t="s">
        <v>3433</v>
      </c>
      <c r="D241" s="1009"/>
      <c r="E241" s="1001"/>
      <c r="F241" s="1001">
        <v>14</v>
      </c>
      <c r="G241" s="1001"/>
      <c r="H241" s="1001">
        <v>14</v>
      </c>
      <c r="I241" s="1001"/>
      <c r="J241" s="1001">
        <v>14</v>
      </c>
      <c r="K241" s="1001">
        <v>5000</v>
      </c>
      <c r="L241" s="1001">
        <v>14</v>
      </c>
      <c r="M241" s="1001">
        <v>5500</v>
      </c>
      <c r="N241" s="1001">
        <v>14</v>
      </c>
      <c r="O241" s="1001">
        <v>6000</v>
      </c>
      <c r="P241" s="1001">
        <v>14</v>
      </c>
      <c r="Q241" s="1001">
        <v>6500</v>
      </c>
      <c r="R241" s="1001"/>
      <c r="S241" s="1004"/>
      <c r="T241" s="1004"/>
    </row>
    <row r="242" spans="2:20" s="1003" customFormat="1" ht="51" x14ac:dyDescent="0.25">
      <c r="B242" s="998" t="s">
        <v>3434</v>
      </c>
      <c r="C242" s="1009" t="s">
        <v>3435</v>
      </c>
      <c r="D242" s="1009" t="s">
        <v>97</v>
      </c>
      <c r="E242" s="1001"/>
      <c r="F242" s="1001">
        <v>14</v>
      </c>
      <c r="G242" s="1001"/>
      <c r="H242" s="1001">
        <v>14</v>
      </c>
      <c r="I242" s="1001"/>
      <c r="J242" s="1001">
        <v>14</v>
      </c>
      <c r="K242" s="1001">
        <v>6000</v>
      </c>
      <c r="L242" s="1001">
        <v>14</v>
      </c>
      <c r="M242" s="1001">
        <v>6500</v>
      </c>
      <c r="N242" s="1001">
        <v>14</v>
      </c>
      <c r="O242" s="1001">
        <v>7000</v>
      </c>
      <c r="P242" s="1001">
        <v>14</v>
      </c>
      <c r="Q242" s="1001">
        <v>7500</v>
      </c>
      <c r="R242" s="1001"/>
      <c r="S242" s="1004"/>
      <c r="T242" s="1004"/>
    </row>
    <row r="243" spans="2:20" s="1003" customFormat="1" ht="38.25" x14ac:dyDescent="0.25">
      <c r="B243" s="998" t="s">
        <v>3436</v>
      </c>
      <c r="C243" s="1009" t="s">
        <v>3437</v>
      </c>
      <c r="D243" s="1009" t="s">
        <v>100</v>
      </c>
      <c r="E243" s="1001"/>
      <c r="F243" s="1001">
        <v>15</v>
      </c>
      <c r="G243" s="1001"/>
      <c r="H243" s="1001">
        <v>15</v>
      </c>
      <c r="I243" s="1001"/>
      <c r="J243" s="1001">
        <v>15</v>
      </c>
      <c r="K243" s="1001">
        <v>5000</v>
      </c>
      <c r="L243" s="1001">
        <v>15</v>
      </c>
      <c r="M243" s="1001">
        <v>5000</v>
      </c>
      <c r="N243" s="1001">
        <v>15</v>
      </c>
      <c r="O243" s="1001">
        <v>5000</v>
      </c>
      <c r="P243" s="1001">
        <v>15</v>
      </c>
      <c r="Q243" s="1001">
        <v>5000</v>
      </c>
      <c r="R243" s="1001"/>
      <c r="S243" s="1004"/>
      <c r="T243" s="1004"/>
    </row>
    <row r="244" spans="2:20" s="1003" customFormat="1" ht="38.25" x14ac:dyDescent="0.25">
      <c r="B244" s="998" t="s">
        <v>3438</v>
      </c>
      <c r="C244" s="1009" t="s">
        <v>3439</v>
      </c>
      <c r="D244" s="1009" t="s">
        <v>327</v>
      </c>
      <c r="E244" s="1001"/>
      <c r="F244" s="1001">
        <v>14</v>
      </c>
      <c r="G244" s="1001"/>
      <c r="H244" s="1001">
        <v>14</v>
      </c>
      <c r="I244" s="1001"/>
      <c r="J244" s="1001">
        <v>14</v>
      </c>
      <c r="K244" s="1001">
        <v>5000</v>
      </c>
      <c r="L244" s="1001">
        <v>14</v>
      </c>
      <c r="M244" s="1001">
        <v>5500</v>
      </c>
      <c r="N244" s="1001">
        <v>14</v>
      </c>
      <c r="O244" s="1001">
        <v>6000</v>
      </c>
      <c r="P244" s="1001">
        <v>14</v>
      </c>
      <c r="Q244" s="1001">
        <v>6500</v>
      </c>
      <c r="R244" s="1001"/>
      <c r="S244" s="1004"/>
      <c r="T244" s="1004"/>
    </row>
    <row r="245" spans="2:20" s="1003" customFormat="1" ht="48" x14ac:dyDescent="0.25">
      <c r="B245" s="1106" t="s">
        <v>3289</v>
      </c>
      <c r="C245" s="1009" t="s">
        <v>3288</v>
      </c>
      <c r="D245" s="1009" t="s">
        <v>100</v>
      </c>
      <c r="E245" s="1001">
        <v>50</v>
      </c>
      <c r="F245" s="1001">
        <v>50</v>
      </c>
      <c r="G245" s="1001">
        <v>12000</v>
      </c>
      <c r="H245" s="1001">
        <v>50</v>
      </c>
      <c r="I245" s="1001">
        <v>11500</v>
      </c>
      <c r="J245" s="1001">
        <v>50</v>
      </c>
      <c r="K245" s="1001">
        <v>13000</v>
      </c>
      <c r="L245" s="1001">
        <v>50</v>
      </c>
      <c r="M245" s="1001">
        <v>14500</v>
      </c>
      <c r="N245" s="1001">
        <v>50</v>
      </c>
      <c r="O245" s="1001">
        <v>16000</v>
      </c>
      <c r="P245" s="1001">
        <v>50</v>
      </c>
      <c r="Q245" s="1001">
        <v>17500</v>
      </c>
      <c r="R245" s="1001">
        <f>F245+H245+J245+L245+N245</f>
        <v>250</v>
      </c>
      <c r="S245" s="1004"/>
      <c r="T245" s="1004"/>
    </row>
    <row r="246" spans="2:20" s="1003" customFormat="1" ht="76.5" x14ac:dyDescent="0.25">
      <c r="B246" s="998" t="s">
        <v>894</v>
      </c>
      <c r="C246" s="1009" t="s">
        <v>3290</v>
      </c>
      <c r="D246" s="1009" t="s">
        <v>100</v>
      </c>
      <c r="E246" s="1001"/>
      <c r="F246" s="1001">
        <v>50</v>
      </c>
      <c r="G246" s="1001">
        <v>12000</v>
      </c>
      <c r="H246" s="1001">
        <v>50</v>
      </c>
      <c r="I246" s="1001">
        <v>11500</v>
      </c>
      <c r="J246" s="1001">
        <v>50</v>
      </c>
      <c r="K246" s="1001">
        <v>13000</v>
      </c>
      <c r="L246" s="1001">
        <v>50</v>
      </c>
      <c r="M246" s="1001">
        <v>14500</v>
      </c>
      <c r="N246" s="1001">
        <v>50</v>
      </c>
      <c r="O246" s="1001">
        <v>16000</v>
      </c>
      <c r="P246" s="1001">
        <v>50</v>
      </c>
      <c r="Q246" s="1001">
        <v>17500</v>
      </c>
      <c r="R246" s="1001"/>
      <c r="S246" s="1004"/>
      <c r="T246" s="1004"/>
    </row>
    <row r="247" spans="2:20" s="1003" customFormat="1" ht="60" x14ac:dyDescent="0.25">
      <c r="B247" s="1063" t="s">
        <v>3292</v>
      </c>
      <c r="C247" s="1000" t="s">
        <v>3291</v>
      </c>
      <c r="D247" s="1000" t="s">
        <v>19</v>
      </c>
      <c r="E247" s="1001">
        <v>75</v>
      </c>
      <c r="F247" s="1001">
        <v>77</v>
      </c>
      <c r="G247" s="1001">
        <f>G248</f>
        <v>0</v>
      </c>
      <c r="H247" s="1001"/>
      <c r="I247" s="1001">
        <f>I248</f>
        <v>7000</v>
      </c>
      <c r="J247" s="1001"/>
      <c r="K247" s="1001">
        <f>K248</f>
        <v>12000</v>
      </c>
      <c r="L247" s="1001">
        <v>80</v>
      </c>
      <c r="M247" s="1001">
        <f>M248</f>
        <v>0</v>
      </c>
      <c r="N247" s="1001"/>
      <c r="O247" s="1001">
        <f>O248</f>
        <v>0</v>
      </c>
      <c r="P247" s="1001"/>
      <c r="Q247" s="1001">
        <f>Q248</f>
        <v>0</v>
      </c>
      <c r="R247" s="1001">
        <f>L247</f>
        <v>80</v>
      </c>
      <c r="S247" s="1004"/>
      <c r="T247" s="1004"/>
    </row>
    <row r="248" spans="2:20" s="1003" customFormat="1" ht="38.25" x14ac:dyDescent="0.25">
      <c r="B248" s="1008" t="s">
        <v>3293</v>
      </c>
      <c r="C248" s="1000" t="s">
        <v>3294</v>
      </c>
      <c r="D248" s="1000" t="s">
        <v>103</v>
      </c>
      <c r="E248" s="1001"/>
      <c r="F248" s="1001">
        <v>0</v>
      </c>
      <c r="G248" s="1001">
        <v>0</v>
      </c>
      <c r="H248" s="1001">
        <v>4</v>
      </c>
      <c r="I248" s="1001">
        <v>7000</v>
      </c>
      <c r="J248" s="1001">
        <v>10</v>
      </c>
      <c r="K248" s="1001">
        <v>12000</v>
      </c>
      <c r="L248" s="1001">
        <v>0</v>
      </c>
      <c r="M248" s="1001">
        <v>0</v>
      </c>
      <c r="N248" s="1001">
        <v>0</v>
      </c>
      <c r="O248" s="1001">
        <v>0</v>
      </c>
      <c r="P248" s="1001">
        <v>0</v>
      </c>
      <c r="Q248" s="1001">
        <v>0</v>
      </c>
      <c r="R248" s="1001"/>
      <c r="S248" s="1004"/>
      <c r="T248" s="1004"/>
    </row>
    <row r="249" spans="2:20" s="1003" customFormat="1" ht="60" x14ac:dyDescent="0.25">
      <c r="B249" s="1063" t="s">
        <v>3296</v>
      </c>
      <c r="C249" s="1000" t="s">
        <v>3295</v>
      </c>
      <c r="D249" s="1000" t="s">
        <v>327</v>
      </c>
      <c r="E249" s="1001">
        <v>28</v>
      </c>
      <c r="F249" s="1001">
        <f>SUM(F250:F251)</f>
        <v>28</v>
      </c>
      <c r="G249" s="1001">
        <f>SUM(G250:G251)</f>
        <v>2800</v>
      </c>
      <c r="H249" s="1001">
        <f t="shared" ref="H249:Q249" si="32">SUM(H250:H251)</f>
        <v>28</v>
      </c>
      <c r="I249" s="1001">
        <f t="shared" si="32"/>
        <v>3500</v>
      </c>
      <c r="J249" s="1001">
        <f t="shared" si="32"/>
        <v>28</v>
      </c>
      <c r="K249" s="1001">
        <f t="shared" si="32"/>
        <v>9000</v>
      </c>
      <c r="L249" s="1001">
        <f t="shared" si="32"/>
        <v>28</v>
      </c>
      <c r="M249" s="1001">
        <f t="shared" si="32"/>
        <v>10000</v>
      </c>
      <c r="N249" s="1001">
        <f t="shared" si="32"/>
        <v>28</v>
      </c>
      <c r="O249" s="1001">
        <f t="shared" si="32"/>
        <v>11000</v>
      </c>
      <c r="P249" s="1001">
        <f t="shared" si="32"/>
        <v>28</v>
      </c>
      <c r="Q249" s="1001">
        <f t="shared" si="32"/>
        <v>12000</v>
      </c>
      <c r="R249" s="1001">
        <f>N249</f>
        <v>28</v>
      </c>
      <c r="S249" s="1004"/>
      <c r="T249" s="1004"/>
    </row>
    <row r="250" spans="2:20" s="1003" customFormat="1" x14ac:dyDescent="0.25">
      <c r="B250" s="1008" t="s">
        <v>383</v>
      </c>
      <c r="C250" s="1000" t="s">
        <v>3297</v>
      </c>
      <c r="D250" s="1000"/>
      <c r="E250" s="1001"/>
      <c r="F250" s="1001">
        <v>14</v>
      </c>
      <c r="G250" s="1001">
        <v>2800</v>
      </c>
      <c r="H250" s="1001">
        <v>14</v>
      </c>
      <c r="I250" s="1001">
        <v>3500</v>
      </c>
      <c r="J250" s="1001">
        <v>14</v>
      </c>
      <c r="K250" s="1001">
        <v>9000</v>
      </c>
      <c r="L250" s="1001">
        <v>14</v>
      </c>
      <c r="M250" s="1001">
        <v>10000</v>
      </c>
      <c r="N250" s="1001">
        <v>14</v>
      </c>
      <c r="O250" s="1001">
        <v>11000</v>
      </c>
      <c r="P250" s="1001">
        <v>14</v>
      </c>
      <c r="Q250" s="1001">
        <v>12000</v>
      </c>
      <c r="R250" s="1001"/>
      <c r="S250" s="1004"/>
      <c r="T250" s="1004"/>
    </row>
    <row r="251" spans="2:20" s="1003" customFormat="1" ht="38.25" x14ac:dyDescent="0.25">
      <c r="B251" s="1008"/>
      <c r="C251" s="1000" t="s">
        <v>3440</v>
      </c>
      <c r="D251" s="1000" t="s">
        <v>97</v>
      </c>
      <c r="E251" s="1001"/>
      <c r="F251" s="1001">
        <v>14</v>
      </c>
      <c r="G251" s="1001">
        <v>0</v>
      </c>
      <c r="H251" s="1001">
        <v>14</v>
      </c>
      <c r="I251" s="1001">
        <v>0</v>
      </c>
      <c r="J251" s="1001">
        <v>14</v>
      </c>
      <c r="K251" s="1001"/>
      <c r="L251" s="1001">
        <v>14</v>
      </c>
      <c r="M251" s="1001"/>
      <c r="N251" s="1001">
        <v>14</v>
      </c>
      <c r="O251" s="1001"/>
      <c r="P251" s="1001">
        <v>14</v>
      </c>
      <c r="Q251" s="1001"/>
      <c r="R251" s="1001"/>
      <c r="S251" s="1004"/>
      <c r="T251" s="1004"/>
    </row>
    <row r="252" spans="2:20" s="1003" customFormat="1" x14ac:dyDescent="0.25">
      <c r="B252" s="1027" t="s">
        <v>2651</v>
      </c>
      <c r="C252" s="1000"/>
      <c r="D252" s="1000"/>
      <c r="E252" s="1000"/>
      <c r="F252" s="1000"/>
      <c r="G252" s="1012" t="e">
        <f>#REF!+G249+G249+G245+G234+G232+G229+G226+G224+G222+G218+G216+G214+G192</f>
        <v>#REF!</v>
      </c>
      <c r="H252" s="1000"/>
      <c r="I252" s="1012" t="e">
        <f>#REF!+I249+I249+I245+I234+I232+I229+I226+I224+I222+I218+I216+I214+I192</f>
        <v>#REF!</v>
      </c>
      <c r="J252" s="1000"/>
      <c r="K252" s="1012" t="e">
        <f>#REF!+K249+K249+K245+K234+K232+K229+K226+K224+K222+K218+K216+K214+K192</f>
        <v>#REF!</v>
      </c>
      <c r="L252" s="1000"/>
      <c r="M252" s="1012" t="e">
        <f>#REF!+M249+M249+M245+M234+M232+M229+M226+M224+M222+M218+M216+M214+M192</f>
        <v>#REF!</v>
      </c>
      <c r="N252" s="1000"/>
      <c r="O252" s="1012" t="e">
        <f>#REF!+O249+O249+O245+O234+O232+O229+O226+O224+O222+O218+O216+O214+O192</f>
        <v>#REF!</v>
      </c>
      <c r="P252" s="1000"/>
      <c r="Q252" s="1012" t="e">
        <f>#REF!+Q249+Q249+Q245+Q234+Q232+Q229+Q226+Q224+Q222+Q218+Q216+Q214+Q192</f>
        <v>#REF!</v>
      </c>
      <c r="R252" s="1000"/>
      <c r="S252" s="1013"/>
      <c r="T252" s="1013"/>
    </row>
    <row r="253" spans="2:20" s="1003" customFormat="1" x14ac:dyDescent="0.25">
      <c r="B253" s="1005"/>
      <c r="C253" s="1100"/>
      <c r="D253" s="1000"/>
      <c r="E253" s="1001"/>
      <c r="F253" s="1001"/>
      <c r="G253" s="1001"/>
      <c r="H253" s="1001"/>
      <c r="I253" s="1001"/>
      <c r="J253" s="1001"/>
      <c r="K253" s="1001"/>
      <c r="L253" s="1001"/>
      <c r="M253" s="1001"/>
      <c r="N253" s="1001"/>
      <c r="O253" s="1001"/>
      <c r="P253" s="1001"/>
      <c r="Q253" s="1001"/>
      <c r="R253" s="1001"/>
      <c r="S253" s="1004"/>
      <c r="T253" s="1004"/>
    </row>
    <row r="254" spans="2:20" s="1003" customFormat="1" x14ac:dyDescent="0.25">
      <c r="B254" s="1167" t="s">
        <v>3441</v>
      </c>
      <c r="C254" s="1100"/>
      <c r="D254" s="1000"/>
      <c r="E254" s="1001"/>
      <c r="F254" s="1001"/>
      <c r="G254" s="1001"/>
      <c r="H254" s="1001"/>
      <c r="I254" s="1001"/>
      <c r="J254" s="1001"/>
      <c r="K254" s="1001"/>
      <c r="L254" s="1001"/>
      <c r="M254" s="1001"/>
      <c r="N254" s="1001"/>
      <c r="O254" s="1001"/>
      <c r="P254" s="1001"/>
      <c r="Q254" s="1001"/>
      <c r="R254" s="1001"/>
      <c r="S254" s="1004"/>
      <c r="T254" s="1004"/>
    </row>
    <row r="255" spans="2:20" s="1003" customFormat="1" ht="51" customHeight="1" x14ac:dyDescent="0.25">
      <c r="B255" s="998"/>
      <c r="C255" s="999" t="s">
        <v>3228</v>
      </c>
      <c r="D255" s="1025" t="s">
        <v>19</v>
      </c>
      <c r="E255" s="1001">
        <v>90</v>
      </c>
      <c r="F255" s="1001">
        <v>93</v>
      </c>
      <c r="G255" s="1001"/>
      <c r="H255" s="1001">
        <v>94</v>
      </c>
      <c r="I255" s="1001"/>
      <c r="J255" s="1001">
        <v>95</v>
      </c>
      <c r="K255" s="1001"/>
      <c r="L255" s="1001">
        <v>96</v>
      </c>
      <c r="M255" s="1001"/>
      <c r="N255" s="1001">
        <v>97</v>
      </c>
      <c r="O255" s="1001"/>
      <c r="P255" s="1001">
        <v>98</v>
      </c>
      <c r="Q255" s="1001"/>
      <c r="R255" s="1001">
        <v>97</v>
      </c>
      <c r="S255" s="1002"/>
      <c r="T255" s="1002"/>
    </row>
    <row r="256" spans="2:20" s="1003" customFormat="1" ht="63.75" x14ac:dyDescent="0.25">
      <c r="B256" s="1106" t="s">
        <v>3229</v>
      </c>
      <c r="C256" s="1000" t="s">
        <v>1488</v>
      </c>
      <c r="D256" s="1025" t="s">
        <v>19</v>
      </c>
      <c r="E256" s="1001">
        <v>100</v>
      </c>
      <c r="F256" s="1001">
        <v>20</v>
      </c>
      <c r="G256" s="1001">
        <f>SUM(G257:G269)</f>
        <v>96500</v>
      </c>
      <c r="H256" s="1001">
        <v>20</v>
      </c>
      <c r="I256" s="1001">
        <f>SUM(I257:I269)</f>
        <v>106150</v>
      </c>
      <c r="J256" s="1001">
        <v>20</v>
      </c>
      <c r="K256" s="1001">
        <f>SUM(K257:K269)</f>
        <v>116765</v>
      </c>
      <c r="L256" s="1001">
        <v>20</v>
      </c>
      <c r="M256" s="1001">
        <f>SUM(M257:M269)</f>
        <v>128409.4</v>
      </c>
      <c r="N256" s="1001">
        <v>20</v>
      </c>
      <c r="O256" s="1001">
        <f>SUM(O257:O269)</f>
        <v>141379.84</v>
      </c>
      <c r="P256" s="1001">
        <v>20</v>
      </c>
      <c r="Q256" s="1001">
        <f>SUM(Q257:Q269)</f>
        <v>155670.02399999998</v>
      </c>
      <c r="R256" s="1001">
        <v>100</v>
      </c>
      <c r="S256" s="1004"/>
      <c r="T256" s="1004"/>
    </row>
    <row r="257" spans="2:20" s="1003" customFormat="1" ht="25.5" x14ac:dyDescent="0.25">
      <c r="B257" s="998" t="s">
        <v>124</v>
      </c>
      <c r="C257" s="1100" t="s">
        <v>3230</v>
      </c>
      <c r="D257" s="1025" t="s">
        <v>40</v>
      </c>
      <c r="E257" s="1001"/>
      <c r="F257" s="1001">
        <v>12</v>
      </c>
      <c r="G257" s="1001">
        <v>1500</v>
      </c>
      <c r="H257" s="1001">
        <v>12</v>
      </c>
      <c r="I257" s="1001">
        <v>1650</v>
      </c>
      <c r="J257" s="1001">
        <v>12</v>
      </c>
      <c r="K257" s="1001">
        <v>1815</v>
      </c>
      <c r="L257" s="1001">
        <v>12</v>
      </c>
      <c r="M257" s="1001">
        <v>2035</v>
      </c>
      <c r="N257" s="1001">
        <v>12</v>
      </c>
      <c r="O257" s="1001">
        <v>2238</v>
      </c>
      <c r="P257" s="1001">
        <v>12</v>
      </c>
      <c r="Q257" s="1001">
        <v>2464</v>
      </c>
      <c r="R257" s="1001"/>
      <c r="S257" s="1004"/>
      <c r="T257" s="1004"/>
    </row>
    <row r="258" spans="2:20" s="1003" customFormat="1" ht="51" x14ac:dyDescent="0.25">
      <c r="B258" s="1005" t="s">
        <v>126</v>
      </c>
      <c r="C258" s="1100" t="s">
        <v>2518</v>
      </c>
      <c r="D258" s="1025" t="s">
        <v>40</v>
      </c>
      <c r="E258" s="1001"/>
      <c r="F258" s="1001">
        <v>12</v>
      </c>
      <c r="G258" s="1001">
        <v>12600</v>
      </c>
      <c r="H258" s="1001">
        <v>12</v>
      </c>
      <c r="I258" s="1001">
        <v>13860</v>
      </c>
      <c r="J258" s="1001">
        <v>12</v>
      </c>
      <c r="K258" s="1001">
        <v>15246</v>
      </c>
      <c r="L258" s="1001">
        <v>12</v>
      </c>
      <c r="M258" s="1001">
        <v>16700</v>
      </c>
      <c r="N258" s="1001">
        <v>12</v>
      </c>
      <c r="O258" s="1001">
        <v>18500</v>
      </c>
      <c r="P258" s="1001">
        <v>12</v>
      </c>
      <c r="Q258" s="1001">
        <v>20500</v>
      </c>
      <c r="R258" s="1001"/>
      <c r="S258" s="1004"/>
      <c r="T258" s="1004"/>
    </row>
    <row r="259" spans="2:20" s="1003" customFormat="1" ht="76.5" x14ac:dyDescent="0.25">
      <c r="B259" s="1005" t="s">
        <v>3231</v>
      </c>
      <c r="C259" s="1100" t="s">
        <v>2519</v>
      </c>
      <c r="D259" s="1025" t="s">
        <v>40</v>
      </c>
      <c r="E259" s="1001"/>
      <c r="F259" s="1001">
        <v>12</v>
      </c>
      <c r="G259" s="1001">
        <v>18500</v>
      </c>
      <c r="H259" s="1001">
        <v>12</v>
      </c>
      <c r="I259" s="1001">
        <f t="shared" ref="I259:I269" si="33">G259*10%+G259</f>
        <v>20350</v>
      </c>
      <c r="J259" s="1001">
        <v>12</v>
      </c>
      <c r="K259" s="1001">
        <f t="shared" ref="K259:K269" si="34">I259*10%+I259</f>
        <v>22385</v>
      </c>
      <c r="L259" s="1001">
        <v>12</v>
      </c>
      <c r="M259" s="1001">
        <f t="shared" ref="M259:M269" si="35">K259*10%+K259</f>
        <v>24623.5</v>
      </c>
      <c r="N259" s="1001">
        <v>12</v>
      </c>
      <c r="O259" s="1001">
        <f t="shared" ref="O259:O269" si="36">M259*10%+M259</f>
        <v>27085.85</v>
      </c>
      <c r="P259" s="1001">
        <v>12</v>
      </c>
      <c r="Q259" s="1001">
        <f t="shared" ref="Q259:Q269" si="37">O259*10%+O259</f>
        <v>29794.434999999998</v>
      </c>
      <c r="R259" s="1001"/>
      <c r="S259" s="1004"/>
      <c r="T259" s="1004"/>
    </row>
    <row r="260" spans="2:20" s="1003" customFormat="1" ht="38.25" x14ac:dyDescent="0.25">
      <c r="B260" s="1005" t="s">
        <v>45</v>
      </c>
      <c r="C260" s="1100" t="s">
        <v>2520</v>
      </c>
      <c r="D260" s="1025" t="s">
        <v>40</v>
      </c>
      <c r="E260" s="1001"/>
      <c r="F260" s="1001">
        <v>12</v>
      </c>
      <c r="G260" s="1001">
        <v>14000</v>
      </c>
      <c r="H260" s="1001">
        <v>12</v>
      </c>
      <c r="I260" s="1001">
        <f t="shared" si="33"/>
        <v>15400</v>
      </c>
      <c r="J260" s="1001">
        <v>12</v>
      </c>
      <c r="K260" s="1001">
        <f t="shared" si="34"/>
        <v>16940</v>
      </c>
      <c r="L260" s="1001">
        <v>12</v>
      </c>
      <c r="M260" s="1001">
        <f t="shared" si="35"/>
        <v>18634</v>
      </c>
      <c r="N260" s="1001">
        <v>12</v>
      </c>
      <c r="O260" s="1001">
        <f t="shared" si="36"/>
        <v>20497.400000000001</v>
      </c>
      <c r="P260" s="1001">
        <v>12</v>
      </c>
      <c r="Q260" s="1001">
        <f t="shared" si="37"/>
        <v>22547.140000000003</v>
      </c>
      <c r="R260" s="1001"/>
      <c r="S260" s="1004"/>
      <c r="T260" s="1004"/>
    </row>
    <row r="261" spans="2:20" s="1003" customFormat="1" ht="38.25" x14ac:dyDescent="0.25">
      <c r="B261" s="1005" t="s">
        <v>47</v>
      </c>
      <c r="C261" s="1100" t="s">
        <v>2521</v>
      </c>
      <c r="D261" s="1025" t="s">
        <v>40</v>
      </c>
      <c r="E261" s="1001"/>
      <c r="F261" s="1001">
        <v>12</v>
      </c>
      <c r="G261" s="1001">
        <v>3000</v>
      </c>
      <c r="H261" s="1001">
        <v>12</v>
      </c>
      <c r="I261" s="1001">
        <f t="shared" si="33"/>
        <v>3300</v>
      </c>
      <c r="J261" s="1001">
        <v>12</v>
      </c>
      <c r="K261" s="1001">
        <f t="shared" si="34"/>
        <v>3630</v>
      </c>
      <c r="L261" s="1001">
        <v>12</v>
      </c>
      <c r="M261" s="1001">
        <f t="shared" si="35"/>
        <v>3993</v>
      </c>
      <c r="N261" s="1001">
        <v>12</v>
      </c>
      <c r="O261" s="1001">
        <f t="shared" si="36"/>
        <v>4392.3</v>
      </c>
      <c r="P261" s="1001">
        <v>12</v>
      </c>
      <c r="Q261" s="1001">
        <f t="shared" si="37"/>
        <v>4831.5300000000007</v>
      </c>
      <c r="R261" s="1001"/>
      <c r="S261" s="1004"/>
      <c r="T261" s="1004"/>
    </row>
    <row r="262" spans="2:20" s="1003" customFormat="1" ht="51" x14ac:dyDescent="0.25">
      <c r="B262" s="1005" t="s">
        <v>923</v>
      </c>
      <c r="C262" s="1100" t="s">
        <v>2522</v>
      </c>
      <c r="D262" s="1025" t="s">
        <v>40</v>
      </c>
      <c r="E262" s="1001"/>
      <c r="F262" s="1001">
        <v>12</v>
      </c>
      <c r="G262" s="1001">
        <v>3500</v>
      </c>
      <c r="H262" s="1001">
        <v>12</v>
      </c>
      <c r="I262" s="1001">
        <f t="shared" si="33"/>
        <v>3850</v>
      </c>
      <c r="J262" s="1001">
        <v>12</v>
      </c>
      <c r="K262" s="1001">
        <f t="shared" si="34"/>
        <v>4235</v>
      </c>
      <c r="L262" s="1001">
        <v>12</v>
      </c>
      <c r="M262" s="1001">
        <f t="shared" si="35"/>
        <v>4658.5</v>
      </c>
      <c r="N262" s="1001">
        <v>12</v>
      </c>
      <c r="O262" s="1001">
        <f t="shared" si="36"/>
        <v>5124.3500000000004</v>
      </c>
      <c r="P262" s="1001">
        <v>12</v>
      </c>
      <c r="Q262" s="1001">
        <f t="shared" si="37"/>
        <v>5636.7850000000008</v>
      </c>
      <c r="R262" s="1001"/>
      <c r="S262" s="1004"/>
      <c r="T262" s="1004"/>
    </row>
    <row r="263" spans="2:20" s="1003" customFormat="1" ht="38.25" x14ac:dyDescent="0.25">
      <c r="B263" s="1005" t="s">
        <v>50</v>
      </c>
      <c r="C263" s="1100" t="s">
        <v>2523</v>
      </c>
      <c r="D263" s="1025" t="s">
        <v>40</v>
      </c>
      <c r="E263" s="1001"/>
      <c r="F263" s="1001">
        <v>12</v>
      </c>
      <c r="G263" s="1001">
        <v>4000</v>
      </c>
      <c r="H263" s="1001">
        <v>12</v>
      </c>
      <c r="I263" s="1001">
        <f t="shared" si="33"/>
        <v>4400</v>
      </c>
      <c r="J263" s="1001">
        <v>12</v>
      </c>
      <c r="K263" s="1001">
        <f t="shared" si="34"/>
        <v>4840</v>
      </c>
      <c r="L263" s="1001">
        <v>12</v>
      </c>
      <c r="M263" s="1001">
        <f t="shared" si="35"/>
        <v>5324</v>
      </c>
      <c r="N263" s="1001">
        <v>12</v>
      </c>
      <c r="O263" s="1001">
        <f t="shared" si="36"/>
        <v>5856.4</v>
      </c>
      <c r="P263" s="1001">
        <v>12</v>
      </c>
      <c r="Q263" s="1001">
        <f t="shared" si="37"/>
        <v>6442.04</v>
      </c>
      <c r="R263" s="1001"/>
      <c r="S263" s="1004"/>
      <c r="T263" s="1004"/>
    </row>
    <row r="264" spans="2:20" s="1003" customFormat="1" ht="51" x14ac:dyDescent="0.25">
      <c r="B264" s="1005" t="s">
        <v>52</v>
      </c>
      <c r="C264" s="1100" t="s">
        <v>2524</v>
      </c>
      <c r="D264" s="1025" t="s">
        <v>40</v>
      </c>
      <c r="E264" s="1001"/>
      <c r="F264" s="1001">
        <v>12</v>
      </c>
      <c r="G264" s="1001">
        <v>3000</v>
      </c>
      <c r="H264" s="1001">
        <v>12</v>
      </c>
      <c r="I264" s="1001">
        <f t="shared" si="33"/>
        <v>3300</v>
      </c>
      <c r="J264" s="1001">
        <v>12</v>
      </c>
      <c r="K264" s="1001">
        <f t="shared" si="34"/>
        <v>3630</v>
      </c>
      <c r="L264" s="1001">
        <v>12</v>
      </c>
      <c r="M264" s="1001">
        <f t="shared" si="35"/>
        <v>3993</v>
      </c>
      <c r="N264" s="1001">
        <v>12</v>
      </c>
      <c r="O264" s="1001">
        <f t="shared" si="36"/>
        <v>4392.3</v>
      </c>
      <c r="P264" s="1001">
        <v>12</v>
      </c>
      <c r="Q264" s="1001">
        <f t="shared" si="37"/>
        <v>4831.5300000000007</v>
      </c>
      <c r="R264" s="1001"/>
      <c r="S264" s="1004"/>
      <c r="T264" s="1004"/>
    </row>
    <row r="265" spans="2:20" s="1003" customFormat="1" ht="76.5" x14ac:dyDescent="0.25">
      <c r="B265" s="1005" t="s">
        <v>782</v>
      </c>
      <c r="C265" s="1100" t="s">
        <v>2525</v>
      </c>
      <c r="D265" s="1025" t="s">
        <v>40</v>
      </c>
      <c r="E265" s="1001"/>
      <c r="F265" s="1001">
        <v>12</v>
      </c>
      <c r="G265" s="1001">
        <v>1500</v>
      </c>
      <c r="H265" s="1001">
        <v>12</v>
      </c>
      <c r="I265" s="1001">
        <f t="shared" si="33"/>
        <v>1650</v>
      </c>
      <c r="J265" s="1001">
        <v>12</v>
      </c>
      <c r="K265" s="1001">
        <f t="shared" si="34"/>
        <v>1815</v>
      </c>
      <c r="L265" s="1001">
        <v>12</v>
      </c>
      <c r="M265" s="1001">
        <f t="shared" si="35"/>
        <v>1996.5</v>
      </c>
      <c r="N265" s="1001">
        <v>12</v>
      </c>
      <c r="O265" s="1001">
        <f t="shared" si="36"/>
        <v>2196.15</v>
      </c>
      <c r="P265" s="1001">
        <v>12</v>
      </c>
      <c r="Q265" s="1001">
        <f t="shared" si="37"/>
        <v>2415.7650000000003</v>
      </c>
      <c r="R265" s="1001"/>
      <c r="S265" s="1004"/>
      <c r="T265" s="1004"/>
    </row>
    <row r="266" spans="2:20" s="1003" customFormat="1" ht="63.75" x14ac:dyDescent="0.25">
      <c r="B266" s="1005" t="s">
        <v>3232</v>
      </c>
      <c r="C266" s="1100" t="s">
        <v>2526</v>
      </c>
      <c r="D266" s="1025" t="s">
        <v>40</v>
      </c>
      <c r="E266" s="1001"/>
      <c r="F266" s="1001">
        <v>12</v>
      </c>
      <c r="G266" s="1001">
        <v>1200</v>
      </c>
      <c r="H266" s="1001">
        <v>12</v>
      </c>
      <c r="I266" s="1001">
        <f t="shared" si="33"/>
        <v>1320</v>
      </c>
      <c r="J266" s="1001">
        <v>12</v>
      </c>
      <c r="K266" s="1001">
        <f t="shared" si="34"/>
        <v>1452</v>
      </c>
      <c r="L266" s="1001">
        <v>12</v>
      </c>
      <c r="M266" s="1001">
        <f t="shared" si="35"/>
        <v>1597.2</v>
      </c>
      <c r="N266" s="1001">
        <v>12</v>
      </c>
      <c r="O266" s="1001">
        <f t="shared" si="36"/>
        <v>1756.92</v>
      </c>
      <c r="P266" s="1001">
        <v>12</v>
      </c>
      <c r="Q266" s="1001">
        <f t="shared" si="37"/>
        <v>1932.6120000000001</v>
      </c>
      <c r="R266" s="1001"/>
      <c r="S266" s="1004"/>
      <c r="T266" s="1004"/>
    </row>
    <row r="267" spans="2:20" s="1003" customFormat="1" ht="38.25" x14ac:dyDescent="0.25">
      <c r="B267" s="1005" t="s">
        <v>58</v>
      </c>
      <c r="C267" s="1100" t="s">
        <v>2527</v>
      </c>
      <c r="D267" s="1025" t="s">
        <v>40</v>
      </c>
      <c r="E267" s="1001"/>
      <c r="F267" s="1001">
        <v>12</v>
      </c>
      <c r="G267" s="1001">
        <v>7500</v>
      </c>
      <c r="H267" s="1001">
        <v>12</v>
      </c>
      <c r="I267" s="1001">
        <f t="shared" si="33"/>
        <v>8250</v>
      </c>
      <c r="J267" s="1001">
        <v>12</v>
      </c>
      <c r="K267" s="1001">
        <f t="shared" si="34"/>
        <v>9075</v>
      </c>
      <c r="L267" s="1001">
        <v>12</v>
      </c>
      <c r="M267" s="1001">
        <f t="shared" si="35"/>
        <v>9982.5</v>
      </c>
      <c r="N267" s="1001">
        <v>12</v>
      </c>
      <c r="O267" s="1001">
        <f t="shared" si="36"/>
        <v>10980.75</v>
      </c>
      <c r="P267" s="1001">
        <v>12</v>
      </c>
      <c r="Q267" s="1001">
        <f t="shared" si="37"/>
        <v>12078.825000000001</v>
      </c>
      <c r="R267" s="1001"/>
      <c r="S267" s="1004"/>
      <c r="T267" s="1004"/>
    </row>
    <row r="268" spans="2:20" s="1003" customFormat="1" ht="51" x14ac:dyDescent="0.25">
      <c r="B268" s="1005" t="s">
        <v>3233</v>
      </c>
      <c r="C268" s="1100" t="s">
        <v>2529</v>
      </c>
      <c r="D268" s="1025" t="s">
        <v>40</v>
      </c>
      <c r="E268" s="1001"/>
      <c r="F268" s="1001">
        <v>12</v>
      </c>
      <c r="G268" s="1001">
        <v>13000</v>
      </c>
      <c r="H268" s="1001">
        <v>12</v>
      </c>
      <c r="I268" s="1001">
        <f t="shared" si="33"/>
        <v>14300</v>
      </c>
      <c r="J268" s="1001">
        <v>12</v>
      </c>
      <c r="K268" s="1001">
        <f t="shared" si="34"/>
        <v>15730</v>
      </c>
      <c r="L268" s="1001">
        <v>12</v>
      </c>
      <c r="M268" s="1001">
        <f t="shared" si="35"/>
        <v>17303</v>
      </c>
      <c r="N268" s="1001">
        <v>12</v>
      </c>
      <c r="O268" s="1001">
        <f t="shared" si="36"/>
        <v>19033.3</v>
      </c>
      <c r="P268" s="1001">
        <v>12</v>
      </c>
      <c r="Q268" s="1001">
        <f t="shared" si="37"/>
        <v>20936.629999999997</v>
      </c>
      <c r="R268" s="1001"/>
      <c r="S268" s="1004"/>
      <c r="T268" s="1004"/>
    </row>
    <row r="269" spans="2:20" s="1003" customFormat="1" ht="51" x14ac:dyDescent="0.25">
      <c r="B269" s="1102" t="s">
        <v>137</v>
      </c>
      <c r="C269" s="1100" t="s">
        <v>3442</v>
      </c>
      <c r="D269" s="1025" t="s">
        <v>40</v>
      </c>
      <c r="E269" s="1001"/>
      <c r="F269" s="1001">
        <v>12</v>
      </c>
      <c r="G269" s="1001">
        <v>13200</v>
      </c>
      <c r="H269" s="1001">
        <v>12</v>
      </c>
      <c r="I269" s="1001">
        <f t="shared" si="33"/>
        <v>14520</v>
      </c>
      <c r="J269" s="1001">
        <v>12</v>
      </c>
      <c r="K269" s="1001">
        <f t="shared" si="34"/>
        <v>15972</v>
      </c>
      <c r="L269" s="1001">
        <v>12</v>
      </c>
      <c r="M269" s="1001">
        <f t="shared" si="35"/>
        <v>17569.2</v>
      </c>
      <c r="N269" s="1001">
        <v>12</v>
      </c>
      <c r="O269" s="1001">
        <f t="shared" si="36"/>
        <v>19326.120000000003</v>
      </c>
      <c r="P269" s="1001">
        <v>12</v>
      </c>
      <c r="Q269" s="1001">
        <f t="shared" si="37"/>
        <v>21258.732000000004</v>
      </c>
      <c r="R269" s="1001"/>
      <c r="S269" s="1004"/>
      <c r="T269" s="1004"/>
    </row>
    <row r="270" spans="2:20" s="1003" customFormat="1" ht="38.25" customHeight="1" x14ac:dyDescent="0.25">
      <c r="B270" s="1061" t="s">
        <v>65</v>
      </c>
      <c r="C270" s="999" t="s">
        <v>3234</v>
      </c>
      <c r="D270" s="1015" t="s">
        <v>19</v>
      </c>
      <c r="E270" s="1001">
        <v>70</v>
      </c>
      <c r="F270" s="1001">
        <v>3</v>
      </c>
      <c r="G270" s="2114">
        <f>SUM(G272:G275)</f>
        <v>21971</v>
      </c>
      <c r="H270" s="1001">
        <v>2</v>
      </c>
      <c r="I270" s="2114">
        <f>SUM(I272:I275)</f>
        <v>27168.1</v>
      </c>
      <c r="J270" s="1001">
        <v>3</v>
      </c>
      <c r="K270" s="2114">
        <f>SUM(K272:K275)</f>
        <v>26584.91</v>
      </c>
      <c r="L270" s="1001">
        <v>2</v>
      </c>
      <c r="M270" s="2114">
        <f>SUM(M272:M275)</f>
        <v>29243.401000000002</v>
      </c>
      <c r="N270" s="1001">
        <v>3</v>
      </c>
      <c r="O270" s="2114">
        <f>SUM(O272:O275)</f>
        <v>36167.741099999999</v>
      </c>
      <c r="P270" s="1001">
        <v>2</v>
      </c>
      <c r="Q270" s="2114">
        <f>SUM(Q272:Q275)</f>
        <v>35384.515210000005</v>
      </c>
      <c r="R270" s="1001">
        <f>E270+F270+H270+J270+L270+N270</f>
        <v>83</v>
      </c>
      <c r="S270" s="1004"/>
      <c r="T270" s="1004"/>
    </row>
    <row r="271" spans="2:20" s="1003" customFormat="1" ht="38.25" x14ac:dyDescent="0.25">
      <c r="B271" s="1067"/>
      <c r="C271" s="999" t="s">
        <v>3235</v>
      </c>
      <c r="D271" s="1015" t="s">
        <v>19</v>
      </c>
      <c r="E271" s="1001">
        <v>100</v>
      </c>
      <c r="F271" s="1001">
        <v>100</v>
      </c>
      <c r="G271" s="2114"/>
      <c r="H271" s="1001">
        <v>100</v>
      </c>
      <c r="I271" s="2114"/>
      <c r="J271" s="1001">
        <v>100</v>
      </c>
      <c r="K271" s="2114"/>
      <c r="L271" s="1001">
        <v>100</v>
      </c>
      <c r="M271" s="2114"/>
      <c r="N271" s="1001">
        <v>100</v>
      </c>
      <c r="O271" s="2114"/>
      <c r="P271" s="1001">
        <v>100</v>
      </c>
      <c r="Q271" s="2114"/>
      <c r="R271" s="1001">
        <v>100</v>
      </c>
      <c r="S271" s="1004"/>
      <c r="T271" s="1004"/>
    </row>
    <row r="272" spans="2:20" s="1003" customFormat="1" ht="38.25" x14ac:dyDescent="0.25">
      <c r="B272" s="998" t="s">
        <v>3236</v>
      </c>
      <c r="C272" s="1000" t="s">
        <v>3443</v>
      </c>
      <c r="D272" s="1025" t="s">
        <v>75</v>
      </c>
      <c r="E272" s="1001"/>
      <c r="F272" s="1001">
        <v>24</v>
      </c>
      <c r="G272" s="1001">
        <v>10000</v>
      </c>
      <c r="H272" s="1001">
        <v>50</v>
      </c>
      <c r="I272" s="1001">
        <f>G272*10%+G272</f>
        <v>11000</v>
      </c>
      <c r="J272" s="1001">
        <v>25</v>
      </c>
      <c r="K272" s="1001">
        <f>I272*10%+I272</f>
        <v>12100</v>
      </c>
      <c r="L272" s="1001">
        <v>25</v>
      </c>
      <c r="M272" s="1001">
        <f>K272*10%+K272</f>
        <v>13310</v>
      </c>
      <c r="N272" s="1001">
        <v>0</v>
      </c>
      <c r="O272" s="1001">
        <f>M272*10%+M272</f>
        <v>14641</v>
      </c>
      <c r="P272" s="1001">
        <v>25</v>
      </c>
      <c r="Q272" s="1001">
        <f>O272*10%+O272</f>
        <v>16105.1</v>
      </c>
      <c r="R272" s="1001"/>
      <c r="S272" s="1004"/>
      <c r="T272" s="1004"/>
    </row>
    <row r="273" spans="2:20" s="1003" customFormat="1" ht="38.25" x14ac:dyDescent="0.25">
      <c r="B273" s="998" t="s">
        <v>3238</v>
      </c>
      <c r="C273" s="1000" t="s">
        <v>3444</v>
      </c>
      <c r="D273" s="1025" t="s">
        <v>75</v>
      </c>
      <c r="E273" s="1001"/>
      <c r="F273" s="1001">
        <v>2</v>
      </c>
      <c r="G273" s="1001">
        <v>7000</v>
      </c>
      <c r="H273" s="1001">
        <v>2</v>
      </c>
      <c r="I273" s="1001">
        <f>G273*10%+G273</f>
        <v>7700</v>
      </c>
      <c r="J273" s="1001">
        <v>2</v>
      </c>
      <c r="K273" s="1001">
        <f>I273*10%+I273</f>
        <v>8470</v>
      </c>
      <c r="L273" s="1001">
        <v>2</v>
      </c>
      <c r="M273" s="1001">
        <f>K273*10%+K273</f>
        <v>9317</v>
      </c>
      <c r="N273" s="1001">
        <v>1</v>
      </c>
      <c r="O273" s="1001">
        <f>M273*10%+M273</f>
        <v>10248.700000000001</v>
      </c>
      <c r="P273" s="1001">
        <v>2</v>
      </c>
      <c r="Q273" s="1001">
        <f>O273*10%+O273</f>
        <v>11273.570000000002</v>
      </c>
      <c r="R273" s="1001"/>
      <c r="S273" s="1004"/>
      <c r="T273" s="1004"/>
    </row>
    <row r="274" spans="2:20" s="1003" customFormat="1" ht="38.25" x14ac:dyDescent="0.25">
      <c r="B274" s="1007" t="s">
        <v>3242</v>
      </c>
      <c r="C274" s="999" t="s">
        <v>3160</v>
      </c>
      <c r="D274" s="1015" t="s">
        <v>40</v>
      </c>
      <c r="E274" s="1001"/>
      <c r="F274" s="1001">
        <v>12</v>
      </c>
      <c r="G274" s="1001">
        <v>4971</v>
      </c>
      <c r="H274" s="1001">
        <v>12</v>
      </c>
      <c r="I274" s="1001">
        <f>G274*10%+G274</f>
        <v>5468.1</v>
      </c>
      <c r="J274" s="1001">
        <v>12</v>
      </c>
      <c r="K274" s="1001">
        <f>I274*10%+I274</f>
        <v>6014.9100000000008</v>
      </c>
      <c r="L274" s="1001">
        <v>12</v>
      </c>
      <c r="M274" s="1001">
        <f>K274*10%+K274</f>
        <v>6616.4010000000007</v>
      </c>
      <c r="N274" s="1001">
        <v>12</v>
      </c>
      <c r="O274" s="1001">
        <f>M274*10%+M274</f>
        <v>7278.0411000000004</v>
      </c>
      <c r="P274" s="1001">
        <v>12</v>
      </c>
      <c r="Q274" s="1001">
        <f>O274*10%+O274</f>
        <v>8005.8452100000004</v>
      </c>
      <c r="R274" s="1001"/>
      <c r="S274" s="1004"/>
      <c r="T274" s="1004"/>
    </row>
    <row r="275" spans="2:20" s="1003" customFormat="1" ht="38.25" x14ac:dyDescent="0.25">
      <c r="B275" s="1007" t="s">
        <v>3243</v>
      </c>
      <c r="C275" s="999" t="s">
        <v>3244</v>
      </c>
      <c r="D275" s="1015" t="s">
        <v>40</v>
      </c>
      <c r="E275" s="1001"/>
      <c r="F275" s="1001">
        <v>0</v>
      </c>
      <c r="G275" s="1001">
        <v>0</v>
      </c>
      <c r="H275" s="1001">
        <v>12</v>
      </c>
      <c r="I275" s="1001">
        <v>3000</v>
      </c>
      <c r="J275" s="1001">
        <v>0</v>
      </c>
      <c r="K275" s="1001">
        <v>0</v>
      </c>
      <c r="L275" s="1001">
        <v>0</v>
      </c>
      <c r="M275" s="1001">
        <v>0</v>
      </c>
      <c r="N275" s="1001">
        <v>12</v>
      </c>
      <c r="O275" s="1001">
        <v>4000</v>
      </c>
      <c r="P275" s="1001">
        <v>0</v>
      </c>
      <c r="Q275" s="1001">
        <v>0</v>
      </c>
      <c r="R275" s="1001"/>
      <c r="S275" s="1004"/>
      <c r="T275" s="1004"/>
    </row>
    <row r="276" spans="2:20" s="1003" customFormat="1" ht="60" x14ac:dyDescent="0.25">
      <c r="B276" s="1106" t="s">
        <v>3445</v>
      </c>
      <c r="C276" s="1000" t="s">
        <v>3446</v>
      </c>
      <c r="D276" s="1025" t="s">
        <v>79</v>
      </c>
      <c r="E276" s="1001">
        <v>25</v>
      </c>
      <c r="F276" s="1001">
        <v>25</v>
      </c>
      <c r="G276" s="1001">
        <f>G277</f>
        <v>5200</v>
      </c>
      <c r="H276" s="1001">
        <v>25</v>
      </c>
      <c r="I276" s="1001">
        <f>I277</f>
        <v>5720</v>
      </c>
      <c r="J276" s="1001">
        <v>25</v>
      </c>
      <c r="K276" s="1001">
        <v>10500</v>
      </c>
      <c r="L276" s="1001">
        <v>25</v>
      </c>
      <c r="M276" s="1001">
        <v>12000</v>
      </c>
      <c r="N276" s="1001">
        <v>25</v>
      </c>
      <c r="O276" s="1001">
        <v>12000</v>
      </c>
      <c r="P276" s="1001">
        <v>25</v>
      </c>
      <c r="Q276" s="1001">
        <v>12500</v>
      </c>
      <c r="R276" s="1001">
        <f>E276+F276+H276+J276+L276+N276</f>
        <v>150</v>
      </c>
      <c r="S276" s="1004"/>
      <c r="T276" s="1004"/>
    </row>
    <row r="277" spans="2:20" s="1003" customFormat="1" ht="63.75" x14ac:dyDescent="0.25">
      <c r="B277" s="998" t="s">
        <v>1712</v>
      </c>
      <c r="C277" s="1000" t="s">
        <v>3250</v>
      </c>
      <c r="D277" s="1025" t="s">
        <v>265</v>
      </c>
      <c r="E277" s="1001"/>
      <c r="F277" s="1001">
        <v>22</v>
      </c>
      <c r="G277" s="1001">
        <v>5200</v>
      </c>
      <c r="H277" s="1001">
        <v>22</v>
      </c>
      <c r="I277" s="1001">
        <f>G277*10%+G277</f>
        <v>5720</v>
      </c>
      <c r="J277" s="1001">
        <v>2</v>
      </c>
      <c r="K277" s="1001">
        <f>I277*10%+I277</f>
        <v>6292</v>
      </c>
      <c r="L277" s="1001">
        <v>2</v>
      </c>
      <c r="M277" s="1001">
        <f>K277*10%+K277</f>
        <v>6921.2</v>
      </c>
      <c r="N277" s="1001">
        <v>2</v>
      </c>
      <c r="O277" s="1001">
        <f>M277*10%+M277</f>
        <v>7613.32</v>
      </c>
      <c r="P277" s="1001">
        <v>2</v>
      </c>
      <c r="Q277" s="1001">
        <f>O277*10%+O277</f>
        <v>8374.652</v>
      </c>
      <c r="R277" s="1001"/>
      <c r="S277" s="1004"/>
      <c r="T277" s="1004"/>
    </row>
    <row r="278" spans="2:20" s="1003" customFormat="1" ht="63.75" customHeight="1" x14ac:dyDescent="0.25">
      <c r="B278" s="1106" t="s">
        <v>3251</v>
      </c>
      <c r="C278" s="1000" t="s">
        <v>3252</v>
      </c>
      <c r="D278" s="1025" t="s">
        <v>79</v>
      </c>
      <c r="E278" s="1001">
        <v>30</v>
      </c>
      <c r="F278" s="1001">
        <f>F279</f>
        <v>100</v>
      </c>
      <c r="G278" s="1103">
        <f>SUM(G279:G279)</f>
        <v>11700</v>
      </c>
      <c r="H278" s="1001">
        <f>H279</f>
        <v>100</v>
      </c>
      <c r="I278" s="1105">
        <f>SUM(I279:I279)</f>
        <v>12870</v>
      </c>
      <c r="J278" s="1001">
        <f>J279</f>
        <v>100</v>
      </c>
      <c r="K278" s="1105">
        <f>SUM(K279:K279)</f>
        <v>14157</v>
      </c>
      <c r="L278" s="1001">
        <f>L279</f>
        <v>100</v>
      </c>
      <c r="M278" s="1105">
        <f>SUM(M279:M279)</f>
        <v>15572.7</v>
      </c>
      <c r="N278" s="1001">
        <f>N279</f>
        <v>100</v>
      </c>
      <c r="O278" s="1105">
        <f>SUM(O279:O279)</f>
        <v>17129.97</v>
      </c>
      <c r="P278" s="1001">
        <f>P279</f>
        <v>100</v>
      </c>
      <c r="Q278" s="1105">
        <f>SUM(Q279:Q279)</f>
        <v>18842.967000000001</v>
      </c>
      <c r="R278" s="1001">
        <f>E278+F278+H278+J278+L278+N278</f>
        <v>530</v>
      </c>
      <c r="S278" s="1004"/>
      <c r="T278" s="1004"/>
    </row>
    <row r="279" spans="2:20" s="1003" customFormat="1" ht="38.25" x14ac:dyDescent="0.25">
      <c r="B279" s="998" t="s">
        <v>3254</v>
      </c>
      <c r="C279" s="1000" t="s">
        <v>3255</v>
      </c>
      <c r="D279" s="1025" t="s">
        <v>100</v>
      </c>
      <c r="E279" s="1001"/>
      <c r="F279" s="1001">
        <v>100</v>
      </c>
      <c r="G279" s="1001">
        <v>11700</v>
      </c>
      <c r="H279" s="1001">
        <v>100</v>
      </c>
      <c r="I279" s="1001">
        <f>G279*10%+G279</f>
        <v>12870</v>
      </c>
      <c r="J279" s="1001">
        <v>100</v>
      </c>
      <c r="K279" s="1001">
        <f>I279*10%+I279</f>
        <v>14157</v>
      </c>
      <c r="L279" s="1001">
        <v>100</v>
      </c>
      <c r="M279" s="1001">
        <f>K279*10%+K279</f>
        <v>15572.7</v>
      </c>
      <c r="N279" s="1001">
        <v>100</v>
      </c>
      <c r="O279" s="1001">
        <f>M279*10%+M279</f>
        <v>17129.97</v>
      </c>
      <c r="P279" s="1001">
        <v>100</v>
      </c>
      <c r="Q279" s="1001">
        <f>O279*10%+O279</f>
        <v>18842.967000000001</v>
      </c>
      <c r="R279" s="1001"/>
      <c r="S279" s="1004"/>
      <c r="T279" s="1004"/>
    </row>
    <row r="280" spans="2:20" s="1003" customFormat="1" ht="96" x14ac:dyDescent="0.25">
      <c r="B280" s="1106" t="s">
        <v>551</v>
      </c>
      <c r="C280" s="1000" t="s">
        <v>3386</v>
      </c>
      <c r="D280" s="1025" t="s">
        <v>19</v>
      </c>
      <c r="E280" s="1001">
        <v>100</v>
      </c>
      <c r="F280" s="1001">
        <v>100</v>
      </c>
      <c r="G280" s="1001">
        <f>G281</f>
        <v>48000</v>
      </c>
      <c r="H280" s="1001">
        <v>100</v>
      </c>
      <c r="I280" s="1001">
        <f>I281</f>
        <v>52800</v>
      </c>
      <c r="J280" s="1001">
        <v>100</v>
      </c>
      <c r="K280" s="1001">
        <f>K281</f>
        <v>58080</v>
      </c>
      <c r="L280" s="1001">
        <v>100</v>
      </c>
      <c r="M280" s="1001">
        <f>M281</f>
        <v>63888</v>
      </c>
      <c r="N280" s="1001">
        <v>100</v>
      </c>
      <c r="O280" s="1001">
        <f>O281</f>
        <v>70276.800000000003</v>
      </c>
      <c r="P280" s="1001">
        <v>100</v>
      </c>
      <c r="Q280" s="1001">
        <f>Q281</f>
        <v>77304.48000000001</v>
      </c>
      <c r="R280" s="1001">
        <v>100</v>
      </c>
      <c r="S280" s="1004"/>
      <c r="T280" s="1004"/>
    </row>
    <row r="281" spans="2:20" s="1003" customFormat="1" ht="25.5" x14ac:dyDescent="0.25">
      <c r="B281" s="998" t="s">
        <v>3421</v>
      </c>
      <c r="C281" s="1000" t="s">
        <v>3422</v>
      </c>
      <c r="D281" s="1025" t="s">
        <v>40</v>
      </c>
      <c r="E281" s="1001"/>
      <c r="F281" s="1001">
        <v>12</v>
      </c>
      <c r="G281" s="1001">
        <v>48000</v>
      </c>
      <c r="H281" s="1001">
        <v>12</v>
      </c>
      <c r="I281" s="1001">
        <f>G281*10%+G281</f>
        <v>52800</v>
      </c>
      <c r="J281" s="1001">
        <v>12</v>
      </c>
      <c r="K281" s="1001">
        <f>I281*10%+I281</f>
        <v>58080</v>
      </c>
      <c r="L281" s="1001">
        <v>12</v>
      </c>
      <c r="M281" s="1001">
        <f>K281*10%+K281</f>
        <v>63888</v>
      </c>
      <c r="N281" s="1001">
        <v>12</v>
      </c>
      <c r="O281" s="1001">
        <f>M281*10%+M281</f>
        <v>70276.800000000003</v>
      </c>
      <c r="P281" s="1001">
        <v>12</v>
      </c>
      <c r="Q281" s="1001">
        <f>O281*10%+O281</f>
        <v>77304.48000000001</v>
      </c>
      <c r="R281" s="1001"/>
      <c r="S281" s="1004"/>
      <c r="T281" s="1004"/>
    </row>
    <row r="282" spans="2:20" s="1003" customFormat="1" ht="84" x14ac:dyDescent="0.25">
      <c r="B282" s="1106" t="s">
        <v>1743</v>
      </c>
      <c r="C282" s="1000" t="s">
        <v>3265</v>
      </c>
      <c r="D282" s="1025" t="s">
        <v>19</v>
      </c>
      <c r="E282" s="1001">
        <v>100</v>
      </c>
      <c r="F282" s="1001">
        <v>100</v>
      </c>
      <c r="G282" s="1001">
        <f>SUM(G283:G284)</f>
        <v>36400</v>
      </c>
      <c r="H282" s="1001">
        <v>100</v>
      </c>
      <c r="I282" s="1001">
        <f>SUM(I283:I284)</f>
        <v>40040</v>
      </c>
      <c r="J282" s="1001">
        <v>100</v>
      </c>
      <c r="K282" s="1001">
        <f>SUM(K283:K284)</f>
        <v>44044</v>
      </c>
      <c r="L282" s="1001">
        <v>100</v>
      </c>
      <c r="M282" s="1001">
        <f>SUM(M283:M284)</f>
        <v>48448.4</v>
      </c>
      <c r="N282" s="1001">
        <v>100</v>
      </c>
      <c r="O282" s="1001">
        <f>SUM(O283:O284)</f>
        <v>53293.240000000005</v>
      </c>
      <c r="P282" s="1001">
        <v>100</v>
      </c>
      <c r="Q282" s="1001">
        <f>SUM(Q283:Q284)</f>
        <v>58622.563999999998</v>
      </c>
      <c r="R282" s="1001">
        <v>100</v>
      </c>
      <c r="S282" s="1004"/>
      <c r="T282" s="1004"/>
    </row>
    <row r="283" spans="2:20" s="1003" customFormat="1" ht="25.5" x14ac:dyDescent="0.25">
      <c r="B283" s="998" t="s">
        <v>3266</v>
      </c>
      <c r="C283" s="1000" t="s">
        <v>3267</v>
      </c>
      <c r="D283" s="1025" t="s">
        <v>265</v>
      </c>
      <c r="E283" s="1001"/>
      <c r="F283" s="1001">
        <v>22</v>
      </c>
      <c r="G283" s="1001">
        <v>29900</v>
      </c>
      <c r="H283" s="1001">
        <v>22</v>
      </c>
      <c r="I283" s="1001">
        <f>G283*10%+G283</f>
        <v>32890</v>
      </c>
      <c r="J283" s="1001">
        <v>10</v>
      </c>
      <c r="K283" s="1001">
        <f>I283*10%+I283</f>
        <v>36179</v>
      </c>
      <c r="L283" s="1001">
        <v>10</v>
      </c>
      <c r="M283" s="1001">
        <f>K283*10%+K283</f>
        <v>39796.9</v>
      </c>
      <c r="N283" s="1001">
        <v>10</v>
      </c>
      <c r="O283" s="1001">
        <f>M283*10%+M283</f>
        <v>43776.590000000004</v>
      </c>
      <c r="P283" s="1001">
        <v>10</v>
      </c>
      <c r="Q283" s="1001">
        <f>O283*10%+O283</f>
        <v>48154.249000000003</v>
      </c>
      <c r="R283" s="1001"/>
      <c r="S283" s="1004"/>
      <c r="T283" s="1004"/>
    </row>
    <row r="284" spans="2:20" s="1003" customFormat="1" ht="76.5" x14ac:dyDescent="0.25">
      <c r="B284" s="998" t="s">
        <v>3390</v>
      </c>
      <c r="C284" s="1000" t="s">
        <v>3273</v>
      </c>
      <c r="D284" s="1025" t="s">
        <v>265</v>
      </c>
      <c r="E284" s="1001"/>
      <c r="F284" s="1001">
        <v>22</v>
      </c>
      <c r="G284" s="1001">
        <v>6500</v>
      </c>
      <c r="H284" s="1001">
        <v>22</v>
      </c>
      <c r="I284" s="1001">
        <f>G284*10%+G284</f>
        <v>7150</v>
      </c>
      <c r="J284" s="1001">
        <v>10</v>
      </c>
      <c r="K284" s="1001">
        <f>I284*10%+I284</f>
        <v>7865</v>
      </c>
      <c r="L284" s="1001">
        <v>10</v>
      </c>
      <c r="M284" s="1001">
        <f>K284*10%+K284</f>
        <v>8651.5</v>
      </c>
      <c r="N284" s="1001">
        <v>10</v>
      </c>
      <c r="O284" s="1001">
        <f>M284*10%+M284</f>
        <v>9516.65</v>
      </c>
      <c r="P284" s="1001">
        <v>10</v>
      </c>
      <c r="Q284" s="1001">
        <f>O284*10%+O284</f>
        <v>10468.314999999999</v>
      </c>
      <c r="R284" s="1001"/>
      <c r="S284" s="1004"/>
      <c r="T284" s="1004"/>
    </row>
    <row r="285" spans="2:20" s="1003" customFormat="1" ht="76.5" customHeight="1" x14ac:dyDescent="0.25">
      <c r="B285" s="1008" t="s">
        <v>3425</v>
      </c>
      <c r="C285" s="1000" t="s">
        <v>3274</v>
      </c>
      <c r="D285" s="1025" t="s">
        <v>79</v>
      </c>
      <c r="E285" s="1001">
        <v>1</v>
      </c>
      <c r="F285" s="1001">
        <v>1</v>
      </c>
      <c r="G285" s="1001">
        <f>G286</f>
        <v>3900</v>
      </c>
      <c r="H285" s="1001">
        <v>1</v>
      </c>
      <c r="I285" s="1001">
        <f>I286</f>
        <v>4290</v>
      </c>
      <c r="J285" s="1001">
        <v>1</v>
      </c>
      <c r="K285" s="1001">
        <f>K286</f>
        <v>4719</v>
      </c>
      <c r="L285" s="1001">
        <v>1</v>
      </c>
      <c r="M285" s="1001">
        <f>M286</f>
        <v>5190.8999999999996</v>
      </c>
      <c r="N285" s="1001">
        <v>1</v>
      </c>
      <c r="O285" s="1001">
        <f>O286</f>
        <v>5709.99</v>
      </c>
      <c r="P285" s="1001">
        <v>1</v>
      </c>
      <c r="Q285" s="1001">
        <f>Q286</f>
        <v>6280.9889999999996</v>
      </c>
      <c r="R285" s="1001">
        <f>E285+F285+H285+J285+L285+N285</f>
        <v>6</v>
      </c>
      <c r="S285" s="1004"/>
      <c r="T285" s="1004"/>
    </row>
    <row r="286" spans="2:20" s="1003" customFormat="1" ht="25.5" x14ac:dyDescent="0.25">
      <c r="B286" s="1008" t="s">
        <v>3277</v>
      </c>
      <c r="C286" s="1000" t="s">
        <v>3278</v>
      </c>
      <c r="D286" s="1025" t="s">
        <v>265</v>
      </c>
      <c r="E286" s="1001"/>
      <c r="F286" s="1001">
        <v>22</v>
      </c>
      <c r="G286" s="1001">
        <v>3900</v>
      </c>
      <c r="H286" s="1001">
        <v>22</v>
      </c>
      <c r="I286" s="1001">
        <f>G286*10%+G286</f>
        <v>4290</v>
      </c>
      <c r="J286" s="1001">
        <v>22</v>
      </c>
      <c r="K286" s="1001">
        <f>I286*10%+I286</f>
        <v>4719</v>
      </c>
      <c r="L286" s="1001">
        <v>22</v>
      </c>
      <c r="M286" s="1001">
        <f>K286*10%+K286</f>
        <v>5190.8999999999996</v>
      </c>
      <c r="N286" s="1001">
        <v>22</v>
      </c>
      <c r="O286" s="1001">
        <f>M286*10%+M286</f>
        <v>5709.99</v>
      </c>
      <c r="P286" s="1001">
        <v>22</v>
      </c>
      <c r="Q286" s="1001">
        <f>O286*10%+O286</f>
        <v>6280.9889999999996</v>
      </c>
      <c r="R286" s="1001"/>
      <c r="S286" s="1004"/>
      <c r="T286" s="1004"/>
    </row>
    <row r="287" spans="2:20" s="1003" customFormat="1" ht="63.75" customHeight="1" x14ac:dyDescent="0.25">
      <c r="B287" s="1063" t="s">
        <v>3280</v>
      </c>
      <c r="C287" s="1000" t="s">
        <v>3279</v>
      </c>
      <c r="D287" s="1025" t="s">
        <v>265</v>
      </c>
      <c r="E287" s="1001">
        <v>22</v>
      </c>
      <c r="F287" s="1001">
        <v>22</v>
      </c>
      <c r="G287" s="1001">
        <f>SUM(G288:G288)</f>
        <v>4000</v>
      </c>
      <c r="H287" s="1001">
        <v>24</v>
      </c>
      <c r="I287" s="1001">
        <f>SUM(I288:I288)</f>
        <v>4400</v>
      </c>
      <c r="J287" s="1001">
        <v>28</v>
      </c>
      <c r="K287" s="1001">
        <f>SUM(K288:K288)</f>
        <v>4840</v>
      </c>
      <c r="L287" s="1001">
        <v>32</v>
      </c>
      <c r="M287" s="1001">
        <f>SUM(M288:M288)</f>
        <v>5324</v>
      </c>
      <c r="N287" s="1001">
        <v>36</v>
      </c>
      <c r="O287" s="1001">
        <f>SUM(O288:O288)</f>
        <v>5856.4</v>
      </c>
      <c r="P287" s="1001">
        <v>40</v>
      </c>
      <c r="Q287" s="1001">
        <f>SUM(Q288:Q288)</f>
        <v>6442.04</v>
      </c>
      <c r="R287" s="1001">
        <f>N287</f>
        <v>36</v>
      </c>
      <c r="S287" s="1004"/>
      <c r="T287" s="1004"/>
    </row>
    <row r="288" spans="2:20" s="1003" customFormat="1" ht="63.75" x14ac:dyDescent="0.25">
      <c r="B288" s="1008" t="s">
        <v>3282</v>
      </c>
      <c r="C288" s="1000" t="s">
        <v>3447</v>
      </c>
      <c r="D288" s="1025" t="s">
        <v>275</v>
      </c>
      <c r="E288" s="1001"/>
      <c r="F288" s="1001">
        <v>2</v>
      </c>
      <c r="G288" s="1001">
        <v>4000</v>
      </c>
      <c r="H288" s="1001">
        <v>2</v>
      </c>
      <c r="I288" s="1001">
        <f>G288*10%+G288</f>
        <v>4400</v>
      </c>
      <c r="J288" s="1001">
        <v>2</v>
      </c>
      <c r="K288" s="1001">
        <f>I288*10%+I288</f>
        <v>4840</v>
      </c>
      <c r="L288" s="1001">
        <v>2</v>
      </c>
      <c r="M288" s="1001">
        <f>K288*10%+K288</f>
        <v>5324</v>
      </c>
      <c r="N288" s="1001">
        <v>2</v>
      </c>
      <c r="O288" s="1001">
        <f>M288*10%+M288</f>
        <v>5856.4</v>
      </c>
      <c r="P288" s="1001">
        <v>2</v>
      </c>
      <c r="Q288" s="1001">
        <f>O288*10%+O288</f>
        <v>6442.04</v>
      </c>
      <c r="R288" s="1001"/>
      <c r="S288" s="1004"/>
      <c r="T288" s="1004"/>
    </row>
    <row r="289" spans="2:20" s="1003" customFormat="1" ht="48" x14ac:dyDescent="0.25">
      <c r="B289" s="1106" t="s">
        <v>3289</v>
      </c>
      <c r="C289" s="1009" t="s">
        <v>3448</v>
      </c>
      <c r="D289" s="1025" t="s">
        <v>275</v>
      </c>
      <c r="E289" s="1001">
        <v>0</v>
      </c>
      <c r="F289" s="1001">
        <f>F290</f>
        <v>1</v>
      </c>
      <c r="G289" s="1001">
        <f t="shared" ref="G289:Q289" si="38">G290</f>
        <v>12000</v>
      </c>
      <c r="H289" s="1001">
        <f t="shared" si="38"/>
        <v>1</v>
      </c>
      <c r="I289" s="1001">
        <f t="shared" si="38"/>
        <v>13200</v>
      </c>
      <c r="J289" s="1001">
        <f t="shared" si="38"/>
        <v>1</v>
      </c>
      <c r="K289" s="1001">
        <f t="shared" si="38"/>
        <v>16500</v>
      </c>
      <c r="L289" s="1001">
        <f t="shared" si="38"/>
        <v>1</v>
      </c>
      <c r="M289" s="1001">
        <f t="shared" si="38"/>
        <v>17500</v>
      </c>
      <c r="N289" s="1001">
        <f t="shared" si="38"/>
        <v>1</v>
      </c>
      <c r="O289" s="1001">
        <f t="shared" si="38"/>
        <v>18500</v>
      </c>
      <c r="P289" s="1001">
        <f t="shared" si="38"/>
        <v>1</v>
      </c>
      <c r="Q289" s="1001">
        <f t="shared" si="38"/>
        <v>18500</v>
      </c>
      <c r="R289" s="1001">
        <f>F289+H289+J289+L289+N289</f>
        <v>5</v>
      </c>
      <c r="S289" s="1004"/>
      <c r="T289" s="1004"/>
    </row>
    <row r="290" spans="2:20" s="1003" customFormat="1" ht="76.5" x14ac:dyDescent="0.25">
      <c r="B290" s="998" t="s">
        <v>894</v>
      </c>
      <c r="C290" s="1009" t="s">
        <v>3448</v>
      </c>
      <c r="D290" s="1025" t="s">
        <v>275</v>
      </c>
      <c r="E290" s="1001"/>
      <c r="F290" s="1001">
        <v>1</v>
      </c>
      <c r="G290" s="1001">
        <v>12000</v>
      </c>
      <c r="H290" s="1001">
        <v>1</v>
      </c>
      <c r="I290" s="1001">
        <f>G290*10%+G290</f>
        <v>13200</v>
      </c>
      <c r="J290" s="1001">
        <v>1</v>
      </c>
      <c r="K290" s="1001">
        <v>16500</v>
      </c>
      <c r="L290" s="1001">
        <v>1</v>
      </c>
      <c r="M290" s="1001">
        <v>17500</v>
      </c>
      <c r="N290" s="1001">
        <v>1</v>
      </c>
      <c r="O290" s="1001">
        <v>18500</v>
      </c>
      <c r="P290" s="1001">
        <v>1</v>
      </c>
      <c r="Q290" s="1001">
        <v>18500</v>
      </c>
      <c r="R290" s="1001"/>
      <c r="S290" s="1004"/>
      <c r="T290" s="1004"/>
    </row>
    <row r="291" spans="2:20" s="1003" customFormat="1" ht="60" x14ac:dyDescent="0.25">
      <c r="B291" s="1063" t="s">
        <v>3449</v>
      </c>
      <c r="C291" s="1000" t="s">
        <v>3291</v>
      </c>
      <c r="D291" s="1025" t="s">
        <v>19</v>
      </c>
      <c r="E291" s="1001">
        <v>0</v>
      </c>
      <c r="F291" s="1001">
        <f>F292</f>
        <v>2</v>
      </c>
      <c r="G291" s="1001">
        <f t="shared" ref="G291:Q291" si="39">G292</f>
        <v>2000</v>
      </c>
      <c r="H291" s="1001">
        <f t="shared" si="39"/>
        <v>0</v>
      </c>
      <c r="I291" s="1001">
        <f t="shared" si="39"/>
        <v>0</v>
      </c>
      <c r="J291" s="1001">
        <f t="shared" si="39"/>
        <v>0</v>
      </c>
      <c r="K291" s="1001">
        <f t="shared" si="39"/>
        <v>0</v>
      </c>
      <c r="L291" s="1001">
        <f t="shared" si="39"/>
        <v>0</v>
      </c>
      <c r="M291" s="1001">
        <f t="shared" si="39"/>
        <v>0</v>
      </c>
      <c r="N291" s="1001">
        <f t="shared" si="39"/>
        <v>11</v>
      </c>
      <c r="O291" s="1001">
        <f t="shared" si="39"/>
        <v>11700</v>
      </c>
      <c r="P291" s="1001">
        <f t="shared" si="39"/>
        <v>0</v>
      </c>
      <c r="Q291" s="1001">
        <f t="shared" si="39"/>
        <v>0</v>
      </c>
      <c r="R291" s="1001">
        <v>13</v>
      </c>
      <c r="S291" s="1004"/>
      <c r="T291" s="1004"/>
    </row>
    <row r="292" spans="2:20" s="1003" customFormat="1" ht="38.25" x14ac:dyDescent="0.25">
      <c r="B292" s="1008" t="s">
        <v>3293</v>
      </c>
      <c r="C292" s="1000" t="s">
        <v>3294</v>
      </c>
      <c r="D292" s="1025" t="s">
        <v>265</v>
      </c>
      <c r="E292" s="1001">
        <f>-A1871</f>
        <v>0</v>
      </c>
      <c r="F292" s="1001">
        <v>2</v>
      </c>
      <c r="G292" s="1001">
        <v>2000</v>
      </c>
      <c r="H292" s="1001">
        <v>0</v>
      </c>
      <c r="I292" s="1001">
        <v>0</v>
      </c>
      <c r="J292" s="1001">
        <v>0</v>
      </c>
      <c r="K292" s="1001">
        <v>0</v>
      </c>
      <c r="L292" s="1001">
        <v>0</v>
      </c>
      <c r="M292" s="1001">
        <v>0</v>
      </c>
      <c r="N292" s="1001">
        <v>11</v>
      </c>
      <c r="O292" s="1001">
        <v>11700</v>
      </c>
      <c r="P292" s="1001">
        <v>0</v>
      </c>
      <c r="Q292" s="1001">
        <v>0</v>
      </c>
      <c r="R292" s="1001"/>
      <c r="S292" s="1004"/>
      <c r="T292" s="1004"/>
    </row>
    <row r="293" spans="2:20" s="1003" customFormat="1" ht="60" x14ac:dyDescent="0.25">
      <c r="B293" s="1063" t="s">
        <v>3296</v>
      </c>
      <c r="C293" s="1000" t="s">
        <v>3295</v>
      </c>
      <c r="D293" s="1025" t="s">
        <v>265</v>
      </c>
      <c r="E293" s="1001">
        <v>13</v>
      </c>
      <c r="F293" s="1001">
        <v>13</v>
      </c>
      <c r="G293" s="1001">
        <v>2600</v>
      </c>
      <c r="H293" s="1001">
        <v>13</v>
      </c>
      <c r="I293" s="1001">
        <f>G293*10%+G293</f>
        <v>2860</v>
      </c>
      <c r="J293" s="1001">
        <v>13</v>
      </c>
      <c r="K293" s="1001">
        <f>I293*10%+I293</f>
        <v>3146</v>
      </c>
      <c r="L293" s="1001">
        <v>13</v>
      </c>
      <c r="M293" s="1001">
        <f>K293*10%+K293</f>
        <v>3460.6</v>
      </c>
      <c r="N293" s="1001">
        <v>13</v>
      </c>
      <c r="O293" s="1001">
        <f>M293*10%+M293</f>
        <v>3806.66</v>
      </c>
      <c r="P293" s="1001">
        <v>22</v>
      </c>
      <c r="Q293" s="1001">
        <f>O293*10%+O293</f>
        <v>4187.326</v>
      </c>
      <c r="R293" s="1001">
        <f>N293</f>
        <v>13</v>
      </c>
      <c r="S293" s="1004"/>
      <c r="T293" s="1004"/>
    </row>
    <row r="294" spans="2:20" s="1003" customFormat="1" x14ac:dyDescent="0.25">
      <c r="B294" s="1008" t="s">
        <v>383</v>
      </c>
      <c r="C294" s="1000" t="s">
        <v>3297</v>
      </c>
      <c r="D294" s="1025"/>
      <c r="E294" s="1001"/>
      <c r="F294" s="1001">
        <v>13</v>
      </c>
      <c r="G294" s="1001">
        <v>2600</v>
      </c>
      <c r="H294" s="1001">
        <v>13</v>
      </c>
      <c r="I294" s="1001">
        <f>G294*10%+G294</f>
        <v>2860</v>
      </c>
      <c r="J294" s="1001">
        <v>13</v>
      </c>
      <c r="K294" s="1001">
        <f>I294*10%+I294</f>
        <v>3146</v>
      </c>
      <c r="L294" s="1001">
        <v>13</v>
      </c>
      <c r="M294" s="1001">
        <f>K294*10%+K294</f>
        <v>3460.6</v>
      </c>
      <c r="N294" s="1001">
        <v>13</v>
      </c>
      <c r="O294" s="1001">
        <f>M294*10%+M294</f>
        <v>3806.66</v>
      </c>
      <c r="P294" s="1001">
        <v>13</v>
      </c>
      <c r="Q294" s="1001">
        <f>O294*10%+O294</f>
        <v>4187.326</v>
      </c>
      <c r="R294" s="1001"/>
      <c r="S294" s="1004"/>
      <c r="T294" s="1004"/>
    </row>
    <row r="295" spans="2:20" s="1003" customFormat="1" ht="60" x14ac:dyDescent="0.25">
      <c r="B295" s="1063" t="s">
        <v>3451</v>
      </c>
      <c r="C295" s="1000" t="s">
        <v>3450</v>
      </c>
      <c r="D295" s="1025" t="s">
        <v>265</v>
      </c>
      <c r="E295" s="1001">
        <v>13</v>
      </c>
      <c r="F295" s="1001">
        <v>13</v>
      </c>
      <c r="G295" s="1001">
        <v>4500</v>
      </c>
      <c r="H295" s="1001">
        <v>13</v>
      </c>
      <c r="I295" s="1001">
        <f>G295*10%+G295</f>
        <v>4950</v>
      </c>
      <c r="J295" s="1001">
        <v>13</v>
      </c>
      <c r="K295" s="1001">
        <f>I295*10%+I295</f>
        <v>5445</v>
      </c>
      <c r="L295" s="1001">
        <v>13</v>
      </c>
      <c r="M295" s="1001">
        <f>K295*10%+K295</f>
        <v>5989.5</v>
      </c>
      <c r="N295" s="1001">
        <v>13</v>
      </c>
      <c r="O295" s="1001">
        <f>M295*10%+M295</f>
        <v>6588.45</v>
      </c>
      <c r="P295" s="1001">
        <v>13</v>
      </c>
      <c r="Q295" s="1001">
        <f>O295*10%+O295</f>
        <v>7247.2950000000001</v>
      </c>
      <c r="R295" s="1001">
        <v>13</v>
      </c>
      <c r="S295" s="1004"/>
      <c r="T295" s="1004"/>
    </row>
    <row r="296" spans="2:20" s="1003" customFormat="1" ht="63.75" x14ac:dyDescent="0.25">
      <c r="B296" s="1008" t="s">
        <v>3453</v>
      </c>
      <c r="C296" s="1000" t="s">
        <v>3452</v>
      </c>
      <c r="D296" s="1025" t="s">
        <v>265</v>
      </c>
      <c r="E296" s="1001">
        <v>13</v>
      </c>
      <c r="F296" s="1001">
        <v>13</v>
      </c>
      <c r="G296" s="1001">
        <v>4500</v>
      </c>
      <c r="H296" s="1001">
        <v>13</v>
      </c>
      <c r="I296" s="1001">
        <f>G296*10%+G296</f>
        <v>4950</v>
      </c>
      <c r="J296" s="1001">
        <v>13</v>
      </c>
      <c r="K296" s="1001">
        <f>I296*10%+I296</f>
        <v>5445</v>
      </c>
      <c r="L296" s="1001">
        <v>13</v>
      </c>
      <c r="M296" s="1001">
        <f>K296*10%+K296</f>
        <v>5989.5</v>
      </c>
      <c r="N296" s="1001">
        <v>13</v>
      </c>
      <c r="O296" s="1001">
        <f>M296*10%+M296</f>
        <v>6588.45</v>
      </c>
      <c r="P296" s="1001">
        <v>13</v>
      </c>
      <c r="Q296" s="1001">
        <f>O296*10%+O296</f>
        <v>7247.2950000000001</v>
      </c>
      <c r="R296" s="1001"/>
      <c r="S296" s="1004"/>
      <c r="T296" s="1004"/>
    </row>
    <row r="297" spans="2:20" s="1003" customFormat="1" x14ac:dyDescent="0.25">
      <c r="B297" s="1027" t="s">
        <v>2651</v>
      </c>
      <c r="C297" s="1000"/>
      <c r="D297" s="1000"/>
      <c r="E297" s="1000"/>
      <c r="F297" s="1000"/>
      <c r="G297" s="1012">
        <v>248271</v>
      </c>
      <c r="H297" s="1000"/>
      <c r="I297" s="1012">
        <f>G297*10%+G297</f>
        <v>273098.09999999998</v>
      </c>
      <c r="J297" s="1000"/>
      <c r="K297" s="1012">
        <f>I297*10%+I297</f>
        <v>300407.90999999997</v>
      </c>
      <c r="L297" s="1000"/>
      <c r="M297" s="1012">
        <f>K297*10%+K297</f>
        <v>330448.701</v>
      </c>
      <c r="N297" s="1000"/>
      <c r="O297" s="1012">
        <f>M297*10%+M297</f>
        <v>363493.5711</v>
      </c>
      <c r="P297" s="1000"/>
      <c r="Q297" s="1012">
        <f>O297*10%+O297</f>
        <v>399842.92820999998</v>
      </c>
      <c r="R297" s="1000"/>
      <c r="S297" s="1013"/>
      <c r="T297" s="1013"/>
    </row>
    <row r="298" spans="2:20" s="1003" customFormat="1" x14ac:dyDescent="0.25">
      <c r="B298" s="1005"/>
      <c r="C298" s="1100"/>
      <c r="D298" s="1000"/>
      <c r="E298" s="1001"/>
      <c r="F298" s="1001"/>
      <c r="G298" s="1001"/>
      <c r="H298" s="1001"/>
      <c r="I298" s="1001"/>
      <c r="J298" s="1001"/>
      <c r="K298" s="1001"/>
      <c r="L298" s="1001"/>
      <c r="M298" s="1001"/>
      <c r="N298" s="1001"/>
      <c r="O298" s="1001"/>
      <c r="P298" s="1001"/>
      <c r="Q298" s="1001"/>
      <c r="R298" s="1001"/>
      <c r="S298" s="1004"/>
      <c r="T298" s="1004"/>
    </row>
    <row r="299" spans="2:20" s="1003" customFormat="1" x14ac:dyDescent="0.25">
      <c r="B299" s="1167" t="s">
        <v>3454</v>
      </c>
      <c r="C299" s="1100"/>
      <c r="D299" s="1000"/>
      <c r="E299" s="1001"/>
      <c r="F299" s="1001"/>
      <c r="G299" s="1001"/>
      <c r="H299" s="1001"/>
      <c r="I299" s="1001"/>
      <c r="J299" s="1001"/>
      <c r="K299" s="1001"/>
      <c r="L299" s="1001"/>
      <c r="M299" s="1001"/>
      <c r="N299" s="1001"/>
      <c r="O299" s="1001"/>
      <c r="P299" s="1001"/>
      <c r="Q299" s="1001"/>
      <c r="R299" s="1001"/>
      <c r="S299" s="1004"/>
      <c r="T299" s="1004"/>
    </row>
    <row r="300" spans="2:20" s="1003" customFormat="1" ht="51" customHeight="1" x14ac:dyDescent="0.25">
      <c r="B300" s="998"/>
      <c r="C300" s="999" t="s">
        <v>3228</v>
      </c>
      <c r="D300" s="1025" t="s">
        <v>19</v>
      </c>
      <c r="E300" s="1001">
        <v>90</v>
      </c>
      <c r="F300" s="1001">
        <v>93</v>
      </c>
      <c r="G300" s="1001"/>
      <c r="H300" s="1001">
        <v>94</v>
      </c>
      <c r="I300" s="1001"/>
      <c r="J300" s="1001">
        <v>95</v>
      </c>
      <c r="K300" s="1001"/>
      <c r="L300" s="1001">
        <v>96</v>
      </c>
      <c r="M300" s="1001"/>
      <c r="N300" s="1001">
        <v>97</v>
      </c>
      <c r="O300" s="1001"/>
      <c r="P300" s="1001">
        <v>98</v>
      </c>
      <c r="Q300" s="1001"/>
      <c r="R300" s="1001">
        <v>97</v>
      </c>
      <c r="S300" s="1002"/>
      <c r="T300" s="1002"/>
    </row>
    <row r="301" spans="2:20" s="1003" customFormat="1" ht="63.75" x14ac:dyDescent="0.25">
      <c r="B301" s="1106" t="s">
        <v>3229</v>
      </c>
      <c r="C301" s="1000" t="s">
        <v>1488</v>
      </c>
      <c r="D301" s="1025" t="s">
        <v>19</v>
      </c>
      <c r="E301" s="1001">
        <v>100</v>
      </c>
      <c r="F301" s="1001">
        <v>20</v>
      </c>
      <c r="G301" s="1001">
        <f>SUM(G302:G315)</f>
        <v>101102</v>
      </c>
      <c r="H301" s="1001">
        <v>20</v>
      </c>
      <c r="I301" s="1001">
        <f>SUM(I302:I315)</f>
        <v>118000</v>
      </c>
      <c r="J301" s="1001">
        <v>20</v>
      </c>
      <c r="K301" s="1001">
        <f>SUM(K302:K315)</f>
        <v>122000</v>
      </c>
      <c r="L301" s="1001">
        <v>20</v>
      </c>
      <c r="M301" s="1001">
        <f>SUM(M302:M315)</f>
        <v>134400</v>
      </c>
      <c r="N301" s="1001">
        <v>20</v>
      </c>
      <c r="O301" s="1001">
        <f>SUM(O302:O315)</f>
        <v>146300</v>
      </c>
      <c r="P301" s="1001">
        <v>20</v>
      </c>
      <c r="Q301" s="1001">
        <f>SUM(Q302:Q315)</f>
        <v>159500</v>
      </c>
      <c r="R301" s="1001">
        <v>100</v>
      </c>
      <c r="S301" s="1004"/>
      <c r="T301" s="1004"/>
    </row>
    <row r="302" spans="2:20" s="1003" customFormat="1" ht="25.5" x14ac:dyDescent="0.25">
      <c r="B302" s="998" t="s">
        <v>124</v>
      </c>
      <c r="C302" s="1100" t="s">
        <v>3230</v>
      </c>
      <c r="D302" s="1025" t="s">
        <v>40</v>
      </c>
      <c r="E302" s="1001"/>
      <c r="F302" s="1001">
        <v>12</v>
      </c>
      <c r="G302" s="1001">
        <v>1000</v>
      </c>
      <c r="H302" s="1001">
        <v>12</v>
      </c>
      <c r="I302" s="1001">
        <v>1000</v>
      </c>
      <c r="J302" s="1001">
        <v>12</v>
      </c>
      <c r="K302" s="1001">
        <v>1500</v>
      </c>
      <c r="L302" s="1001">
        <v>12</v>
      </c>
      <c r="M302" s="1001">
        <v>2000</v>
      </c>
      <c r="N302" s="1001">
        <v>12</v>
      </c>
      <c r="O302" s="1001">
        <v>2500</v>
      </c>
      <c r="P302" s="1001">
        <v>12</v>
      </c>
      <c r="Q302" s="1001">
        <v>3000</v>
      </c>
      <c r="R302" s="1001"/>
      <c r="S302" s="1004"/>
      <c r="T302" s="1004"/>
    </row>
    <row r="303" spans="2:20" s="1003" customFormat="1" ht="51" x14ac:dyDescent="0.25">
      <c r="B303" s="1005" t="s">
        <v>126</v>
      </c>
      <c r="C303" s="1100" t="s">
        <v>2518</v>
      </c>
      <c r="D303" s="1025" t="s">
        <v>40</v>
      </c>
      <c r="E303" s="1001"/>
      <c r="F303" s="1001">
        <v>12</v>
      </c>
      <c r="G303" s="1001">
        <v>12602</v>
      </c>
      <c r="H303" s="1001">
        <v>12</v>
      </c>
      <c r="I303" s="1001">
        <v>14000</v>
      </c>
      <c r="J303" s="1001">
        <v>12</v>
      </c>
      <c r="K303" s="1001">
        <v>15500</v>
      </c>
      <c r="L303" s="1001">
        <v>12</v>
      </c>
      <c r="M303" s="1001">
        <v>17000</v>
      </c>
      <c r="N303" s="1001">
        <v>12</v>
      </c>
      <c r="O303" s="1001">
        <v>18500</v>
      </c>
      <c r="P303" s="1001">
        <v>12</v>
      </c>
      <c r="Q303" s="1001">
        <v>20000</v>
      </c>
      <c r="R303" s="1001"/>
      <c r="S303" s="1004"/>
      <c r="T303" s="1004"/>
    </row>
    <row r="304" spans="2:20" s="1003" customFormat="1" ht="63.75" x14ac:dyDescent="0.25">
      <c r="B304" s="1005" t="s">
        <v>3455</v>
      </c>
      <c r="C304" s="1100" t="s">
        <v>3456</v>
      </c>
      <c r="D304" s="1025" t="s">
        <v>40</v>
      </c>
      <c r="E304" s="1001"/>
      <c r="F304" s="1001">
        <v>12</v>
      </c>
      <c r="G304" s="1001">
        <v>1500</v>
      </c>
      <c r="H304" s="1001">
        <v>12</v>
      </c>
      <c r="I304" s="1001">
        <v>2000</v>
      </c>
      <c r="J304" s="1001">
        <v>12</v>
      </c>
      <c r="K304" s="1001">
        <v>2200</v>
      </c>
      <c r="L304" s="1001">
        <v>12</v>
      </c>
      <c r="M304" s="1001">
        <v>2400</v>
      </c>
      <c r="N304" s="1001">
        <v>12</v>
      </c>
      <c r="O304" s="1001">
        <v>2600</v>
      </c>
      <c r="P304" s="1001">
        <v>12</v>
      </c>
      <c r="Q304" s="1001">
        <v>3000</v>
      </c>
      <c r="R304" s="1001"/>
      <c r="S304" s="1004"/>
      <c r="T304" s="1004"/>
    </row>
    <row r="305" spans="2:20" s="1003" customFormat="1" ht="76.5" x14ac:dyDescent="0.25">
      <c r="B305" s="1005" t="s">
        <v>3231</v>
      </c>
      <c r="C305" s="1100" t="s">
        <v>2519</v>
      </c>
      <c r="D305" s="1025" t="s">
        <v>40</v>
      </c>
      <c r="E305" s="1001"/>
      <c r="F305" s="1001">
        <v>12</v>
      </c>
      <c r="G305" s="1001">
        <v>22000</v>
      </c>
      <c r="H305" s="1001">
        <v>12</v>
      </c>
      <c r="I305" s="1001">
        <v>27000</v>
      </c>
      <c r="J305" s="1001">
        <v>12</v>
      </c>
      <c r="K305" s="1001">
        <v>29000</v>
      </c>
      <c r="L305" s="1001">
        <v>12</v>
      </c>
      <c r="M305" s="1001">
        <v>32500</v>
      </c>
      <c r="N305" s="1001">
        <v>12</v>
      </c>
      <c r="O305" s="1001">
        <v>36000</v>
      </c>
      <c r="P305" s="1001">
        <v>12</v>
      </c>
      <c r="Q305" s="1001">
        <v>39500</v>
      </c>
      <c r="R305" s="1001"/>
      <c r="S305" s="1004"/>
      <c r="T305" s="1004"/>
    </row>
    <row r="306" spans="2:20" s="1003" customFormat="1" ht="38.25" x14ac:dyDescent="0.25">
      <c r="B306" s="1005" t="s">
        <v>45</v>
      </c>
      <c r="C306" s="1100" t="s">
        <v>2520</v>
      </c>
      <c r="D306" s="1025" t="s">
        <v>40</v>
      </c>
      <c r="E306" s="1001"/>
      <c r="F306" s="1001">
        <v>12</v>
      </c>
      <c r="G306" s="1001">
        <v>18000</v>
      </c>
      <c r="H306" s="1001">
        <v>12</v>
      </c>
      <c r="I306" s="1001">
        <v>20000</v>
      </c>
      <c r="J306" s="1001">
        <v>12</v>
      </c>
      <c r="K306" s="1001">
        <v>22000</v>
      </c>
      <c r="L306" s="1001">
        <v>12</v>
      </c>
      <c r="M306" s="1001">
        <v>24000</v>
      </c>
      <c r="N306" s="1001">
        <v>12</v>
      </c>
      <c r="O306" s="1001">
        <v>26500</v>
      </c>
      <c r="P306" s="1001">
        <v>12</v>
      </c>
      <c r="Q306" s="1001">
        <v>29000</v>
      </c>
      <c r="R306" s="1001"/>
      <c r="S306" s="1004"/>
      <c r="T306" s="1004"/>
    </row>
    <row r="307" spans="2:20" s="1003" customFormat="1" ht="38.25" x14ac:dyDescent="0.25">
      <c r="B307" s="1005" t="s">
        <v>47</v>
      </c>
      <c r="C307" s="1100" t="s">
        <v>2521</v>
      </c>
      <c r="D307" s="1025" t="s">
        <v>40</v>
      </c>
      <c r="E307" s="1001"/>
      <c r="F307" s="1001">
        <v>12</v>
      </c>
      <c r="G307" s="1001">
        <v>1500</v>
      </c>
      <c r="H307" s="1001">
        <v>12</v>
      </c>
      <c r="I307" s="1001">
        <v>2000</v>
      </c>
      <c r="J307" s="1001">
        <v>12</v>
      </c>
      <c r="K307" s="1001">
        <v>2500</v>
      </c>
      <c r="L307" s="1001">
        <v>12</v>
      </c>
      <c r="M307" s="1001">
        <v>3000</v>
      </c>
      <c r="N307" s="1001">
        <v>12</v>
      </c>
      <c r="O307" s="1001">
        <v>3200</v>
      </c>
      <c r="P307" s="1001">
        <v>12</v>
      </c>
      <c r="Q307" s="1001">
        <v>3500</v>
      </c>
      <c r="R307" s="1001"/>
      <c r="S307" s="1004"/>
      <c r="T307" s="1004"/>
    </row>
    <row r="308" spans="2:20" s="1003" customFormat="1" ht="51" x14ac:dyDescent="0.25">
      <c r="B308" s="1005" t="s">
        <v>923</v>
      </c>
      <c r="C308" s="1100" t="s">
        <v>2522</v>
      </c>
      <c r="D308" s="1025" t="s">
        <v>40</v>
      </c>
      <c r="E308" s="1001"/>
      <c r="F308" s="1001">
        <v>12</v>
      </c>
      <c r="G308" s="1001">
        <v>4000</v>
      </c>
      <c r="H308" s="1001">
        <v>12</v>
      </c>
      <c r="I308" s="1001">
        <v>4000</v>
      </c>
      <c r="J308" s="1001">
        <v>12</v>
      </c>
      <c r="K308" s="1001">
        <v>4500</v>
      </c>
      <c r="L308" s="1001">
        <v>12</v>
      </c>
      <c r="M308" s="1001">
        <v>5000</v>
      </c>
      <c r="N308" s="1001">
        <v>12</v>
      </c>
      <c r="O308" s="1001">
        <v>5500</v>
      </c>
      <c r="P308" s="1001">
        <v>12</v>
      </c>
      <c r="Q308" s="1001">
        <v>6000</v>
      </c>
      <c r="R308" s="1001"/>
      <c r="S308" s="1004"/>
      <c r="T308" s="1004"/>
    </row>
    <row r="309" spans="2:20" s="1003" customFormat="1" ht="38.25" x14ac:dyDescent="0.25">
      <c r="B309" s="1005" t="s">
        <v>50</v>
      </c>
      <c r="C309" s="1100" t="s">
        <v>2523</v>
      </c>
      <c r="D309" s="1025" t="s">
        <v>40</v>
      </c>
      <c r="E309" s="1001"/>
      <c r="F309" s="1001">
        <v>12</v>
      </c>
      <c r="G309" s="1001">
        <v>6000</v>
      </c>
      <c r="H309" s="1001">
        <v>12</v>
      </c>
      <c r="I309" s="1001">
        <v>6000</v>
      </c>
      <c r="J309" s="1001">
        <v>12</v>
      </c>
      <c r="K309" s="1001">
        <v>7000</v>
      </c>
      <c r="L309" s="1001">
        <v>12</v>
      </c>
      <c r="M309" s="1001">
        <v>7500</v>
      </c>
      <c r="N309" s="1001">
        <v>12</v>
      </c>
      <c r="O309" s="1001">
        <v>8000</v>
      </c>
      <c r="P309" s="1001">
        <v>12</v>
      </c>
      <c r="Q309" s="1001">
        <v>8500</v>
      </c>
      <c r="R309" s="1001"/>
      <c r="S309" s="1004"/>
      <c r="T309" s="1004"/>
    </row>
    <row r="310" spans="2:20" s="1003" customFormat="1" ht="51" x14ac:dyDescent="0.25">
      <c r="B310" s="1005" t="s">
        <v>52</v>
      </c>
      <c r="C310" s="1100" t="s">
        <v>2524</v>
      </c>
      <c r="D310" s="1025" t="s">
        <v>40</v>
      </c>
      <c r="E310" s="1001"/>
      <c r="F310" s="1001">
        <v>12</v>
      </c>
      <c r="G310" s="1001">
        <v>3000</v>
      </c>
      <c r="H310" s="1001">
        <v>12</v>
      </c>
      <c r="I310" s="1001">
        <v>4000</v>
      </c>
      <c r="J310" s="1001">
        <v>12</v>
      </c>
      <c r="K310" s="1001">
        <v>4500</v>
      </c>
      <c r="L310" s="1001">
        <v>12</v>
      </c>
      <c r="M310" s="1001">
        <v>5000</v>
      </c>
      <c r="N310" s="1001">
        <v>12</v>
      </c>
      <c r="O310" s="1001">
        <v>5500</v>
      </c>
      <c r="P310" s="1001">
        <v>12</v>
      </c>
      <c r="Q310" s="1001">
        <v>6000</v>
      </c>
      <c r="R310" s="1001"/>
      <c r="S310" s="1004"/>
      <c r="T310" s="1004"/>
    </row>
    <row r="311" spans="2:20" s="1003" customFormat="1" ht="76.5" x14ac:dyDescent="0.25">
      <c r="B311" s="1005" t="s">
        <v>782</v>
      </c>
      <c r="C311" s="1100" t="s">
        <v>2525</v>
      </c>
      <c r="D311" s="1025" t="s">
        <v>40</v>
      </c>
      <c r="E311" s="1001"/>
      <c r="F311" s="1001">
        <v>12</v>
      </c>
      <c r="G311" s="1001">
        <v>1000</v>
      </c>
      <c r="H311" s="1001">
        <v>12</v>
      </c>
      <c r="I311" s="1001">
        <v>1500</v>
      </c>
      <c r="J311" s="1001">
        <v>12</v>
      </c>
      <c r="K311" s="1001">
        <v>1600</v>
      </c>
      <c r="L311" s="1001">
        <v>12</v>
      </c>
      <c r="M311" s="1001">
        <v>2000</v>
      </c>
      <c r="N311" s="1001">
        <v>12</v>
      </c>
      <c r="O311" s="1001">
        <v>2500</v>
      </c>
      <c r="P311" s="1001">
        <v>12</v>
      </c>
      <c r="Q311" s="1001">
        <v>3000</v>
      </c>
      <c r="R311" s="1001"/>
      <c r="S311" s="1004"/>
      <c r="T311" s="1004"/>
    </row>
    <row r="312" spans="2:20" s="1003" customFormat="1" ht="63.75" x14ac:dyDescent="0.25">
      <c r="B312" s="1005" t="s">
        <v>3232</v>
      </c>
      <c r="C312" s="1100" t="s">
        <v>2526</v>
      </c>
      <c r="D312" s="1025" t="s">
        <v>40</v>
      </c>
      <c r="E312" s="1001"/>
      <c r="F312" s="1001">
        <v>12</v>
      </c>
      <c r="G312" s="1001">
        <v>1500</v>
      </c>
      <c r="H312" s="1001">
        <v>12</v>
      </c>
      <c r="I312" s="1001">
        <v>1500</v>
      </c>
      <c r="J312" s="1001">
        <v>12</v>
      </c>
      <c r="K312" s="1001">
        <v>1700</v>
      </c>
      <c r="L312" s="1001">
        <v>12</v>
      </c>
      <c r="M312" s="1001">
        <v>2000</v>
      </c>
      <c r="N312" s="1001">
        <v>12</v>
      </c>
      <c r="O312" s="1001">
        <v>2500</v>
      </c>
      <c r="P312" s="1001">
        <v>12</v>
      </c>
      <c r="Q312" s="1001">
        <v>3000</v>
      </c>
      <c r="R312" s="1001"/>
      <c r="S312" s="1004"/>
      <c r="T312" s="1004"/>
    </row>
    <row r="313" spans="2:20" s="1003" customFormat="1" ht="38.25" x14ac:dyDescent="0.25">
      <c r="B313" s="1005" t="s">
        <v>58</v>
      </c>
      <c r="C313" s="1100" t="s">
        <v>2527</v>
      </c>
      <c r="D313" s="1025" t="s">
        <v>40</v>
      </c>
      <c r="E313" s="1001"/>
      <c r="F313" s="1001">
        <v>12</v>
      </c>
      <c r="G313" s="1001">
        <v>15000</v>
      </c>
      <c r="H313" s="1001">
        <v>12</v>
      </c>
      <c r="I313" s="1001">
        <v>16000</v>
      </c>
      <c r="J313" s="1001">
        <v>12</v>
      </c>
      <c r="K313" s="1001">
        <v>10000</v>
      </c>
      <c r="L313" s="1001">
        <v>12</v>
      </c>
      <c r="M313" s="1001">
        <v>10000</v>
      </c>
      <c r="N313" s="1001">
        <v>12</v>
      </c>
      <c r="O313" s="1001">
        <v>10000</v>
      </c>
      <c r="P313" s="1001">
        <v>12</v>
      </c>
      <c r="Q313" s="1001">
        <v>10000</v>
      </c>
      <c r="R313" s="1001"/>
      <c r="S313" s="1004"/>
      <c r="T313" s="1004"/>
    </row>
    <row r="314" spans="2:20" s="1003" customFormat="1" ht="51" x14ac:dyDescent="0.25">
      <c r="B314" s="1005" t="s">
        <v>3233</v>
      </c>
      <c r="C314" s="1100" t="s">
        <v>2529</v>
      </c>
      <c r="D314" s="1025" t="s">
        <v>40</v>
      </c>
      <c r="E314" s="1001"/>
      <c r="F314" s="1001">
        <v>12</v>
      </c>
      <c r="G314" s="1001">
        <v>12500</v>
      </c>
      <c r="H314" s="1001">
        <v>12</v>
      </c>
      <c r="I314" s="1001">
        <v>17000</v>
      </c>
      <c r="J314" s="1001">
        <v>12</v>
      </c>
      <c r="K314" s="1001">
        <v>17500</v>
      </c>
      <c r="L314" s="1001">
        <v>12</v>
      </c>
      <c r="M314" s="1001">
        <v>19000</v>
      </c>
      <c r="N314" s="1001">
        <v>12</v>
      </c>
      <c r="O314" s="1001">
        <v>20000</v>
      </c>
      <c r="P314" s="1001">
        <v>12</v>
      </c>
      <c r="Q314" s="1001">
        <v>22000</v>
      </c>
      <c r="R314" s="1001"/>
      <c r="S314" s="1004"/>
      <c r="T314" s="1004"/>
    </row>
    <row r="315" spans="2:20" s="1003" customFormat="1" ht="51" x14ac:dyDescent="0.25">
      <c r="B315" s="1102" t="s">
        <v>137</v>
      </c>
      <c r="C315" s="1100" t="s">
        <v>2528</v>
      </c>
      <c r="D315" s="1025" t="s">
        <v>40</v>
      </c>
      <c r="E315" s="1001"/>
      <c r="F315" s="1001">
        <v>12</v>
      </c>
      <c r="G315" s="1001">
        <v>1500</v>
      </c>
      <c r="H315" s="1001">
        <v>12</v>
      </c>
      <c r="I315" s="1001">
        <v>2000</v>
      </c>
      <c r="J315" s="1001">
        <v>12</v>
      </c>
      <c r="K315" s="1001">
        <v>2500</v>
      </c>
      <c r="L315" s="1001">
        <v>12</v>
      </c>
      <c r="M315" s="1001">
        <v>3000</v>
      </c>
      <c r="N315" s="1001">
        <v>12</v>
      </c>
      <c r="O315" s="1001">
        <v>3000</v>
      </c>
      <c r="P315" s="1001">
        <v>12</v>
      </c>
      <c r="Q315" s="1001">
        <v>3000</v>
      </c>
      <c r="R315" s="1001"/>
      <c r="S315" s="1004"/>
      <c r="T315" s="1004"/>
    </row>
    <row r="316" spans="2:20" s="1003" customFormat="1" ht="38.25" x14ac:dyDescent="0.25">
      <c r="B316" s="2121" t="s">
        <v>65</v>
      </c>
      <c r="C316" s="999" t="s">
        <v>3234</v>
      </c>
      <c r="D316" s="1015" t="s">
        <v>19</v>
      </c>
      <c r="E316" s="1001">
        <v>70</v>
      </c>
      <c r="F316" s="1001">
        <v>3</v>
      </c>
      <c r="G316" s="2114">
        <f>SUM(G318:G323)</f>
        <v>43845</v>
      </c>
      <c r="H316" s="1001">
        <v>2</v>
      </c>
      <c r="I316" s="2114">
        <f>SUM(I318:I323)</f>
        <v>29000</v>
      </c>
      <c r="J316" s="1001">
        <v>3</v>
      </c>
      <c r="K316" s="2114">
        <f>SUM(K318:K323)</f>
        <v>33500</v>
      </c>
      <c r="L316" s="1001">
        <v>2</v>
      </c>
      <c r="M316" s="2114">
        <f>SUM(M318:M323)</f>
        <v>31500</v>
      </c>
      <c r="N316" s="1001">
        <v>3</v>
      </c>
      <c r="O316" s="2114">
        <f>SUM(O318:O323)</f>
        <v>35500</v>
      </c>
      <c r="P316" s="1001">
        <v>2</v>
      </c>
      <c r="Q316" s="2114">
        <f>SUM(Q318:Q323)</f>
        <v>41500</v>
      </c>
      <c r="R316" s="1001">
        <f>E316+F316+H316+J316+L316+N316</f>
        <v>83</v>
      </c>
      <c r="S316" s="1004"/>
      <c r="T316" s="1004"/>
    </row>
    <row r="317" spans="2:20" s="1003" customFormat="1" ht="38.25" x14ac:dyDescent="0.25">
      <c r="B317" s="2121"/>
      <c r="C317" s="999" t="s">
        <v>3235</v>
      </c>
      <c r="D317" s="1015" t="s">
        <v>19</v>
      </c>
      <c r="E317" s="1001">
        <v>100</v>
      </c>
      <c r="F317" s="1001">
        <v>100</v>
      </c>
      <c r="G317" s="2114"/>
      <c r="H317" s="1001">
        <v>100</v>
      </c>
      <c r="I317" s="2114"/>
      <c r="J317" s="1001">
        <v>100</v>
      </c>
      <c r="K317" s="2114"/>
      <c r="L317" s="1001">
        <v>100</v>
      </c>
      <c r="M317" s="2114"/>
      <c r="N317" s="1001">
        <v>100</v>
      </c>
      <c r="O317" s="2114"/>
      <c r="P317" s="1001">
        <v>100</v>
      </c>
      <c r="Q317" s="2114"/>
      <c r="R317" s="1001">
        <v>100</v>
      </c>
      <c r="S317" s="1004"/>
      <c r="T317" s="1004"/>
    </row>
    <row r="318" spans="2:20" s="1003" customFormat="1" ht="38.25" x14ac:dyDescent="0.25">
      <c r="B318" s="1007" t="s">
        <v>144</v>
      </c>
      <c r="C318" s="999" t="s">
        <v>3457</v>
      </c>
      <c r="D318" s="1015" t="s">
        <v>69</v>
      </c>
      <c r="E318" s="1001"/>
      <c r="F318" s="1001">
        <v>1</v>
      </c>
      <c r="G318" s="1001">
        <v>8500</v>
      </c>
      <c r="H318" s="1001">
        <v>0</v>
      </c>
      <c r="I318" s="1001">
        <v>0</v>
      </c>
      <c r="J318" s="1001">
        <v>0</v>
      </c>
      <c r="K318" s="1001">
        <v>0</v>
      </c>
      <c r="L318" s="1001">
        <v>0</v>
      </c>
      <c r="M318" s="1001">
        <v>0</v>
      </c>
      <c r="N318" s="1001">
        <v>1</v>
      </c>
      <c r="O318" s="1001">
        <v>10000</v>
      </c>
      <c r="P318" s="1001">
        <v>0</v>
      </c>
      <c r="Q318" s="1001">
        <v>0</v>
      </c>
      <c r="R318" s="1001"/>
      <c r="S318" s="1004"/>
      <c r="T318" s="1004"/>
    </row>
    <row r="319" spans="2:20" s="1003" customFormat="1" ht="25.5" x14ac:dyDescent="0.25">
      <c r="B319" s="998" t="s">
        <v>3236</v>
      </c>
      <c r="C319" s="1000" t="s">
        <v>3458</v>
      </c>
      <c r="D319" s="1025" t="s">
        <v>75</v>
      </c>
      <c r="E319" s="1001"/>
      <c r="F319" s="1001">
        <v>19</v>
      </c>
      <c r="G319" s="1001">
        <v>13945</v>
      </c>
      <c r="H319" s="1001">
        <v>50</v>
      </c>
      <c r="I319" s="1001">
        <v>10000</v>
      </c>
      <c r="J319" s="1001">
        <v>25</v>
      </c>
      <c r="K319" s="1001">
        <v>10000</v>
      </c>
      <c r="L319" s="1001">
        <v>25</v>
      </c>
      <c r="M319" s="1001">
        <v>12000</v>
      </c>
      <c r="N319" s="1001">
        <v>0</v>
      </c>
      <c r="O319" s="1001">
        <v>0</v>
      </c>
      <c r="P319" s="1001">
        <v>25</v>
      </c>
      <c r="Q319" s="1001">
        <v>10000</v>
      </c>
      <c r="R319" s="1001"/>
      <c r="S319" s="1004"/>
      <c r="T319" s="1004"/>
    </row>
    <row r="320" spans="2:20" s="1003" customFormat="1" ht="38.25" x14ac:dyDescent="0.25">
      <c r="B320" s="998" t="s">
        <v>3238</v>
      </c>
      <c r="C320" s="1000" t="s">
        <v>3444</v>
      </c>
      <c r="D320" s="1025" t="s">
        <v>75</v>
      </c>
      <c r="E320" s="1001"/>
      <c r="F320" s="1001">
        <v>4</v>
      </c>
      <c r="G320" s="1001">
        <v>16400</v>
      </c>
      <c r="H320" s="1001">
        <v>1</v>
      </c>
      <c r="I320" s="1001">
        <v>8000</v>
      </c>
      <c r="J320" s="1001">
        <v>2</v>
      </c>
      <c r="K320" s="1001">
        <v>14000</v>
      </c>
      <c r="L320" s="1001">
        <v>1</v>
      </c>
      <c r="M320" s="1001">
        <v>10000</v>
      </c>
      <c r="N320" s="1001">
        <v>1</v>
      </c>
      <c r="O320" s="1001">
        <v>11000</v>
      </c>
      <c r="P320" s="1001">
        <v>2</v>
      </c>
      <c r="Q320" s="1001">
        <v>20000</v>
      </c>
      <c r="R320" s="1001"/>
      <c r="S320" s="1004"/>
      <c r="T320" s="1004"/>
    </row>
    <row r="321" spans="2:20" s="1003" customFormat="1" ht="38.25" x14ac:dyDescent="0.25">
      <c r="B321" s="1007" t="s">
        <v>3240</v>
      </c>
      <c r="C321" s="999" t="s">
        <v>3241</v>
      </c>
      <c r="D321" s="1015" t="s">
        <v>40</v>
      </c>
      <c r="E321" s="1001"/>
      <c r="F321" s="1001">
        <v>12</v>
      </c>
      <c r="G321" s="1001">
        <v>2000</v>
      </c>
      <c r="H321" s="1001">
        <v>12</v>
      </c>
      <c r="I321" s="1001">
        <v>3000</v>
      </c>
      <c r="J321" s="1001">
        <v>12</v>
      </c>
      <c r="K321" s="1001">
        <v>3500</v>
      </c>
      <c r="L321" s="1001">
        <v>12</v>
      </c>
      <c r="M321" s="1001">
        <v>3500</v>
      </c>
      <c r="N321" s="1001">
        <v>12</v>
      </c>
      <c r="O321" s="1001">
        <v>4000</v>
      </c>
      <c r="P321" s="1001">
        <v>12</v>
      </c>
      <c r="Q321" s="1001">
        <v>4500</v>
      </c>
      <c r="R321" s="1001"/>
      <c r="S321" s="1004"/>
      <c r="T321" s="1004"/>
    </row>
    <row r="322" spans="2:20" s="1003" customFormat="1" ht="38.25" x14ac:dyDescent="0.25">
      <c r="B322" s="1007" t="s">
        <v>3242</v>
      </c>
      <c r="C322" s="999" t="s">
        <v>3160</v>
      </c>
      <c r="D322" s="1015" t="s">
        <v>40</v>
      </c>
      <c r="E322" s="1001"/>
      <c r="F322" s="1001">
        <v>12</v>
      </c>
      <c r="G322" s="1001">
        <v>3000</v>
      </c>
      <c r="H322" s="1001">
        <v>12</v>
      </c>
      <c r="I322" s="1001">
        <v>5000</v>
      </c>
      <c r="J322" s="1001">
        <v>12</v>
      </c>
      <c r="K322" s="1001">
        <v>6000</v>
      </c>
      <c r="L322" s="1001">
        <v>12</v>
      </c>
      <c r="M322" s="1001">
        <v>6000</v>
      </c>
      <c r="N322" s="1001">
        <v>12</v>
      </c>
      <c r="O322" s="1001">
        <v>6500</v>
      </c>
      <c r="P322" s="1001">
        <v>12</v>
      </c>
      <c r="Q322" s="1001">
        <v>7000</v>
      </c>
      <c r="R322" s="1001"/>
      <c r="S322" s="1004"/>
      <c r="T322" s="1004"/>
    </row>
    <row r="323" spans="2:20" s="1003" customFormat="1" ht="38.25" x14ac:dyDescent="0.25">
      <c r="B323" s="1007" t="s">
        <v>3243</v>
      </c>
      <c r="C323" s="999" t="s">
        <v>3244</v>
      </c>
      <c r="D323" s="1015" t="s">
        <v>40</v>
      </c>
      <c r="E323" s="1001"/>
      <c r="F323" s="1001">
        <v>0</v>
      </c>
      <c r="G323" s="1001">
        <v>0</v>
      </c>
      <c r="H323" s="1001">
        <v>12</v>
      </c>
      <c r="I323" s="1001">
        <v>3000</v>
      </c>
      <c r="J323" s="1001">
        <v>0</v>
      </c>
      <c r="K323" s="1001">
        <v>0</v>
      </c>
      <c r="L323" s="1001">
        <v>0</v>
      </c>
      <c r="M323" s="1001">
        <v>0</v>
      </c>
      <c r="N323" s="1001">
        <v>12</v>
      </c>
      <c r="O323" s="1001">
        <v>4000</v>
      </c>
      <c r="P323" s="1001">
        <v>0</v>
      </c>
      <c r="Q323" s="1001">
        <v>0</v>
      </c>
      <c r="R323" s="1001"/>
      <c r="S323" s="1004"/>
      <c r="T323" s="1004"/>
    </row>
    <row r="324" spans="2:20" s="1003" customFormat="1" ht="63.75" x14ac:dyDescent="0.25">
      <c r="B324" s="1106" t="s">
        <v>3245</v>
      </c>
      <c r="C324" s="1000" t="s">
        <v>3246</v>
      </c>
      <c r="D324" s="1025" t="s">
        <v>79</v>
      </c>
      <c r="E324" s="1001">
        <v>55</v>
      </c>
      <c r="F324" s="1001">
        <f>F325</f>
        <v>8</v>
      </c>
      <c r="G324" s="1001">
        <f t="shared" ref="G324:Q324" si="40">G325</f>
        <v>4500</v>
      </c>
      <c r="H324" s="1001">
        <f t="shared" si="40"/>
        <v>7</v>
      </c>
      <c r="I324" s="1001">
        <f t="shared" si="40"/>
        <v>5500</v>
      </c>
      <c r="J324" s="1001">
        <f t="shared" si="40"/>
        <v>7</v>
      </c>
      <c r="K324" s="1001">
        <f t="shared" si="40"/>
        <v>6000</v>
      </c>
      <c r="L324" s="1001">
        <f t="shared" si="40"/>
        <v>7</v>
      </c>
      <c r="M324" s="1001">
        <f t="shared" si="40"/>
        <v>6500</v>
      </c>
      <c r="N324" s="1001">
        <f t="shared" si="40"/>
        <v>7</v>
      </c>
      <c r="O324" s="1001">
        <f t="shared" si="40"/>
        <v>7000</v>
      </c>
      <c r="P324" s="1001">
        <f t="shared" si="40"/>
        <v>8</v>
      </c>
      <c r="Q324" s="1001">
        <f t="shared" si="40"/>
        <v>7500</v>
      </c>
      <c r="R324" s="1001">
        <f>E324+F324+H324+J324+L324+N324</f>
        <v>91</v>
      </c>
      <c r="S324" s="1004"/>
      <c r="T324" s="1004"/>
    </row>
    <row r="325" spans="2:20" s="1003" customFormat="1" ht="102" x14ac:dyDescent="0.25">
      <c r="B325" s="998" t="s">
        <v>80</v>
      </c>
      <c r="C325" s="1000" t="s">
        <v>3459</v>
      </c>
      <c r="D325" s="1025" t="s">
        <v>79</v>
      </c>
      <c r="E325" s="1001"/>
      <c r="F325" s="1001">
        <v>8</v>
      </c>
      <c r="G325" s="1001">
        <v>4500</v>
      </c>
      <c r="H325" s="1001">
        <v>7</v>
      </c>
      <c r="I325" s="1001">
        <v>5500</v>
      </c>
      <c r="J325" s="1001">
        <v>7</v>
      </c>
      <c r="K325" s="1001">
        <v>6000</v>
      </c>
      <c r="L325" s="1001">
        <v>7</v>
      </c>
      <c r="M325" s="1001">
        <v>6500</v>
      </c>
      <c r="N325" s="1001">
        <v>7</v>
      </c>
      <c r="O325" s="1001">
        <v>7000</v>
      </c>
      <c r="P325" s="1001">
        <v>8</v>
      </c>
      <c r="Q325" s="1001">
        <v>7500</v>
      </c>
      <c r="R325" s="1001"/>
      <c r="S325" s="1004"/>
      <c r="T325" s="1004"/>
    </row>
    <row r="326" spans="2:20" s="1003" customFormat="1" ht="48" x14ac:dyDescent="0.25">
      <c r="B326" s="1106" t="s">
        <v>3248</v>
      </c>
      <c r="C326" s="1000" t="s">
        <v>3446</v>
      </c>
      <c r="D326" s="1025" t="s">
        <v>79</v>
      </c>
      <c r="E326" s="1001">
        <v>25</v>
      </c>
      <c r="F326" s="1001">
        <v>25</v>
      </c>
      <c r="G326" s="1001">
        <f>G327</f>
        <v>8800</v>
      </c>
      <c r="H326" s="1001">
        <v>25</v>
      </c>
      <c r="I326" s="1001">
        <f>I327</f>
        <v>10000</v>
      </c>
      <c r="J326" s="1001">
        <v>25</v>
      </c>
      <c r="K326" s="1001">
        <v>10500</v>
      </c>
      <c r="L326" s="1001">
        <v>25</v>
      </c>
      <c r="M326" s="1001">
        <v>12000</v>
      </c>
      <c r="N326" s="1001">
        <v>25</v>
      </c>
      <c r="O326" s="1001">
        <v>12000</v>
      </c>
      <c r="P326" s="1001">
        <v>25</v>
      </c>
      <c r="Q326" s="1001">
        <v>12500</v>
      </c>
      <c r="R326" s="1001">
        <f>E326+F326+H326+J326+L326+N326</f>
        <v>150</v>
      </c>
      <c r="S326" s="1004"/>
      <c r="T326" s="1004"/>
    </row>
    <row r="327" spans="2:20" s="1003" customFormat="1" ht="63.75" x14ac:dyDescent="0.25">
      <c r="B327" s="998" t="s">
        <v>1712</v>
      </c>
      <c r="C327" s="1000" t="s">
        <v>3250</v>
      </c>
      <c r="D327" s="1025" t="s">
        <v>265</v>
      </c>
      <c r="E327" s="1001"/>
      <c r="F327" s="1001">
        <v>22</v>
      </c>
      <c r="G327" s="1001">
        <v>8800</v>
      </c>
      <c r="H327" s="1001">
        <v>22</v>
      </c>
      <c r="I327" s="1001">
        <v>10000</v>
      </c>
      <c r="J327" s="1001">
        <v>2</v>
      </c>
      <c r="K327" s="1001">
        <v>6000</v>
      </c>
      <c r="L327" s="1001">
        <v>2</v>
      </c>
      <c r="M327" s="1001">
        <v>6500</v>
      </c>
      <c r="N327" s="1001">
        <v>2</v>
      </c>
      <c r="O327" s="1001">
        <v>7000</v>
      </c>
      <c r="P327" s="1001">
        <v>2</v>
      </c>
      <c r="Q327" s="1001">
        <v>7500</v>
      </c>
      <c r="R327" s="1001"/>
      <c r="S327" s="1004"/>
      <c r="T327" s="1004"/>
    </row>
    <row r="328" spans="2:20" s="1003" customFormat="1" ht="63.75" customHeight="1" x14ac:dyDescent="0.25">
      <c r="B328" s="1106" t="s">
        <v>3251</v>
      </c>
      <c r="C328" s="1000" t="s">
        <v>3252</v>
      </c>
      <c r="D328" s="1025" t="s">
        <v>79</v>
      </c>
      <c r="E328" s="1001">
        <v>30</v>
      </c>
      <c r="F328" s="1001">
        <f>F329</f>
        <v>154</v>
      </c>
      <c r="G328" s="1103">
        <f>SUM(G329:G329)</f>
        <v>18000</v>
      </c>
      <c r="H328" s="1001">
        <f>H329</f>
        <v>154</v>
      </c>
      <c r="I328" s="1105">
        <f>SUM(I329:I329)</f>
        <v>20000</v>
      </c>
      <c r="J328" s="1001">
        <f>J329</f>
        <v>154</v>
      </c>
      <c r="K328" s="1105">
        <f>SUM(K329:K329)</f>
        <v>30000</v>
      </c>
      <c r="L328" s="1001">
        <f>L329</f>
        <v>154</v>
      </c>
      <c r="M328" s="1105">
        <f>SUM(M329:M329)</f>
        <v>35000</v>
      </c>
      <c r="N328" s="1001">
        <f>N329</f>
        <v>154</v>
      </c>
      <c r="O328" s="1105">
        <f>SUM(O329:O329)</f>
        <v>40000</v>
      </c>
      <c r="P328" s="1001">
        <f>P329</f>
        <v>154</v>
      </c>
      <c r="Q328" s="1105">
        <f>SUM(Q329:Q329)</f>
        <v>45000</v>
      </c>
      <c r="R328" s="1001">
        <f>E328+F328+H328+J328+L328+N328</f>
        <v>800</v>
      </c>
      <c r="S328" s="1004"/>
      <c r="T328" s="1004"/>
    </row>
    <row r="329" spans="2:20" s="1003" customFormat="1" ht="38.25" x14ac:dyDescent="0.25">
      <c r="B329" s="998" t="s">
        <v>3254</v>
      </c>
      <c r="C329" s="1000" t="s">
        <v>3255</v>
      </c>
      <c r="D329" s="1025" t="s">
        <v>100</v>
      </c>
      <c r="E329" s="1001"/>
      <c r="F329" s="1001">
        <v>154</v>
      </c>
      <c r="G329" s="1001">
        <v>18000</v>
      </c>
      <c r="H329" s="1001">
        <v>154</v>
      </c>
      <c r="I329" s="1001">
        <v>20000</v>
      </c>
      <c r="J329" s="1001">
        <v>154</v>
      </c>
      <c r="K329" s="1001">
        <v>30000</v>
      </c>
      <c r="L329" s="1001">
        <v>154</v>
      </c>
      <c r="M329" s="1001">
        <v>35000</v>
      </c>
      <c r="N329" s="1001">
        <v>154</v>
      </c>
      <c r="O329" s="1001">
        <v>40000</v>
      </c>
      <c r="P329" s="1001">
        <v>154</v>
      </c>
      <c r="Q329" s="1001">
        <v>45000</v>
      </c>
      <c r="R329" s="1001"/>
      <c r="S329" s="1004"/>
      <c r="T329" s="1004"/>
    </row>
    <row r="330" spans="2:20" s="1003" customFormat="1" ht="96" x14ac:dyDescent="0.25">
      <c r="B330" s="1106" t="s">
        <v>551</v>
      </c>
      <c r="C330" s="1000" t="s">
        <v>3386</v>
      </c>
      <c r="D330" s="1025" t="s">
        <v>19</v>
      </c>
      <c r="E330" s="1001">
        <v>100</v>
      </c>
      <c r="F330" s="1001">
        <v>100</v>
      </c>
      <c r="G330" s="1001">
        <f>G331</f>
        <v>53355</v>
      </c>
      <c r="H330" s="1001">
        <v>100</v>
      </c>
      <c r="I330" s="1001">
        <f>I331</f>
        <v>55000</v>
      </c>
      <c r="J330" s="1001">
        <v>100</v>
      </c>
      <c r="K330" s="1001">
        <f>K331</f>
        <v>30000</v>
      </c>
      <c r="L330" s="1001">
        <v>100</v>
      </c>
      <c r="M330" s="1001">
        <f>M331</f>
        <v>35000</v>
      </c>
      <c r="N330" s="1001">
        <v>100</v>
      </c>
      <c r="O330" s="1001">
        <f>O331</f>
        <v>40000</v>
      </c>
      <c r="P330" s="1001">
        <v>100</v>
      </c>
      <c r="Q330" s="1001">
        <f>Q331</f>
        <v>45000</v>
      </c>
      <c r="R330" s="1001">
        <v>100</v>
      </c>
      <c r="S330" s="1004"/>
      <c r="T330" s="1004"/>
    </row>
    <row r="331" spans="2:20" s="1003" customFormat="1" ht="25.5" x14ac:dyDescent="0.25">
      <c r="B331" s="998" t="s">
        <v>3421</v>
      </c>
      <c r="C331" s="1000" t="s">
        <v>3422</v>
      </c>
      <c r="D331" s="1025" t="s">
        <v>40</v>
      </c>
      <c r="E331" s="1001"/>
      <c r="F331" s="1001">
        <v>12</v>
      </c>
      <c r="G331" s="1001">
        <v>53355</v>
      </c>
      <c r="H331" s="1001">
        <v>12</v>
      </c>
      <c r="I331" s="1001">
        <v>55000</v>
      </c>
      <c r="J331" s="1001">
        <v>12</v>
      </c>
      <c r="K331" s="1001">
        <v>30000</v>
      </c>
      <c r="L331" s="1001">
        <v>12</v>
      </c>
      <c r="M331" s="1001">
        <v>35000</v>
      </c>
      <c r="N331" s="1001">
        <v>12</v>
      </c>
      <c r="O331" s="1001">
        <v>40000</v>
      </c>
      <c r="P331" s="1001">
        <v>12</v>
      </c>
      <c r="Q331" s="1001">
        <v>45000</v>
      </c>
      <c r="R331" s="1001"/>
      <c r="S331" s="1004"/>
      <c r="T331" s="1004"/>
    </row>
    <row r="332" spans="2:20" s="1003" customFormat="1" ht="84" x14ac:dyDescent="0.25">
      <c r="B332" s="1106" t="s">
        <v>1743</v>
      </c>
      <c r="C332" s="1000" t="s">
        <v>3265</v>
      </c>
      <c r="D332" s="1025" t="s">
        <v>19</v>
      </c>
      <c r="E332" s="1001">
        <v>100</v>
      </c>
      <c r="F332" s="1001">
        <v>60</v>
      </c>
      <c r="G332" s="1001">
        <f>SUM(G333:G334)</f>
        <v>58500</v>
      </c>
      <c r="H332" s="1001">
        <v>70</v>
      </c>
      <c r="I332" s="1001">
        <f>SUM(I333:I334)</f>
        <v>67000</v>
      </c>
      <c r="J332" s="1001">
        <v>80</v>
      </c>
      <c r="K332" s="1001">
        <f>SUM(K333:K334)</f>
        <v>60000</v>
      </c>
      <c r="L332" s="1001">
        <v>90</v>
      </c>
      <c r="M332" s="1001">
        <f>SUM(M333:M334)</f>
        <v>60000</v>
      </c>
      <c r="N332" s="1001">
        <v>100</v>
      </c>
      <c r="O332" s="1001">
        <f>SUM(O333:O334)</f>
        <v>60000</v>
      </c>
      <c r="P332" s="1001">
        <v>100</v>
      </c>
      <c r="Q332" s="1001">
        <f>SUM(Q333:Q334)</f>
        <v>60000</v>
      </c>
      <c r="R332" s="1001">
        <v>100</v>
      </c>
      <c r="S332" s="1004"/>
      <c r="T332" s="1004"/>
    </row>
    <row r="333" spans="2:20" s="1003" customFormat="1" ht="25.5" x14ac:dyDescent="0.25">
      <c r="B333" s="998" t="s">
        <v>3266</v>
      </c>
      <c r="C333" s="1000" t="s">
        <v>3267</v>
      </c>
      <c r="D333" s="1025" t="s">
        <v>265</v>
      </c>
      <c r="E333" s="1001"/>
      <c r="F333" s="1001">
        <v>22</v>
      </c>
      <c r="G333" s="1001">
        <v>46000</v>
      </c>
      <c r="H333" s="1001">
        <v>22</v>
      </c>
      <c r="I333" s="1001">
        <v>50000</v>
      </c>
      <c r="J333" s="1001">
        <v>10</v>
      </c>
      <c r="K333" s="1001">
        <v>30000</v>
      </c>
      <c r="L333" s="1001">
        <v>10</v>
      </c>
      <c r="M333" s="1001">
        <v>30000</v>
      </c>
      <c r="N333" s="1001">
        <v>10</v>
      </c>
      <c r="O333" s="1001">
        <v>30000</v>
      </c>
      <c r="P333" s="1001">
        <v>10</v>
      </c>
      <c r="Q333" s="1001">
        <v>30000</v>
      </c>
      <c r="R333" s="1001"/>
      <c r="S333" s="1004"/>
      <c r="T333" s="1004"/>
    </row>
    <row r="334" spans="2:20" s="1003" customFormat="1" ht="76.5" x14ac:dyDescent="0.25">
      <c r="B334" s="998" t="s">
        <v>3390</v>
      </c>
      <c r="C334" s="1000" t="s">
        <v>3273</v>
      </c>
      <c r="D334" s="1025" t="s">
        <v>265</v>
      </c>
      <c r="E334" s="1001"/>
      <c r="F334" s="1001">
        <v>22</v>
      </c>
      <c r="G334" s="1001">
        <v>12500</v>
      </c>
      <c r="H334" s="1001">
        <v>22</v>
      </c>
      <c r="I334" s="1001">
        <v>17000</v>
      </c>
      <c r="J334" s="1001">
        <v>10</v>
      </c>
      <c r="K334" s="1001">
        <v>30000</v>
      </c>
      <c r="L334" s="1001">
        <v>10</v>
      </c>
      <c r="M334" s="1001">
        <v>30000</v>
      </c>
      <c r="N334" s="1001">
        <v>10</v>
      </c>
      <c r="O334" s="1001">
        <v>30000</v>
      </c>
      <c r="P334" s="1001">
        <v>10</v>
      </c>
      <c r="Q334" s="1001">
        <v>30000</v>
      </c>
      <c r="R334" s="1001"/>
      <c r="S334" s="1004"/>
      <c r="T334" s="1004"/>
    </row>
    <row r="335" spans="2:20" s="1003" customFormat="1" ht="76.5" customHeight="1" x14ac:dyDescent="0.25">
      <c r="B335" s="1008" t="s">
        <v>3425</v>
      </c>
      <c r="C335" s="1000" t="s">
        <v>3274</v>
      </c>
      <c r="D335" s="1025" t="s">
        <v>79</v>
      </c>
      <c r="E335" s="1001">
        <v>1</v>
      </c>
      <c r="F335" s="1001">
        <v>1</v>
      </c>
      <c r="G335" s="1001">
        <f>G336</f>
        <v>4500</v>
      </c>
      <c r="H335" s="1001">
        <v>1</v>
      </c>
      <c r="I335" s="1001">
        <f>I336</f>
        <v>8000</v>
      </c>
      <c r="J335" s="1001">
        <v>1</v>
      </c>
      <c r="K335" s="1001">
        <f>K336</f>
        <v>3000</v>
      </c>
      <c r="L335" s="1001">
        <v>1</v>
      </c>
      <c r="M335" s="1001">
        <f>M336</f>
        <v>3000</v>
      </c>
      <c r="N335" s="1001">
        <v>1</v>
      </c>
      <c r="O335" s="1001">
        <f>O336</f>
        <v>3000</v>
      </c>
      <c r="P335" s="1001">
        <v>1</v>
      </c>
      <c r="Q335" s="1001">
        <f>Q336</f>
        <v>3000</v>
      </c>
      <c r="R335" s="1001">
        <f>E335+F335+H335+J335+L335+N335</f>
        <v>6</v>
      </c>
      <c r="S335" s="1004"/>
      <c r="T335" s="1004"/>
    </row>
    <row r="336" spans="2:20" s="1003" customFormat="1" ht="25.5" x14ac:dyDescent="0.25">
      <c r="B336" s="1008" t="s">
        <v>3277</v>
      </c>
      <c r="C336" s="1000" t="s">
        <v>3278</v>
      </c>
      <c r="D336" s="1025" t="s">
        <v>265</v>
      </c>
      <c r="E336" s="1001"/>
      <c r="F336" s="1001">
        <v>22</v>
      </c>
      <c r="G336" s="1001">
        <v>4500</v>
      </c>
      <c r="H336" s="1001">
        <v>22</v>
      </c>
      <c r="I336" s="1001">
        <v>8000</v>
      </c>
      <c r="J336" s="1001">
        <v>22</v>
      </c>
      <c r="K336" s="1001">
        <v>3000</v>
      </c>
      <c r="L336" s="1001">
        <v>22</v>
      </c>
      <c r="M336" s="1001">
        <v>3000</v>
      </c>
      <c r="N336" s="1001">
        <v>22</v>
      </c>
      <c r="O336" s="1001">
        <v>3000</v>
      </c>
      <c r="P336" s="1001">
        <v>22</v>
      </c>
      <c r="Q336" s="1001">
        <v>3000</v>
      </c>
      <c r="R336" s="1001"/>
      <c r="S336" s="1004"/>
      <c r="T336" s="1004"/>
    </row>
    <row r="337" spans="2:20" s="1003" customFormat="1" ht="63.75" customHeight="1" x14ac:dyDescent="0.25">
      <c r="B337" s="1063" t="s">
        <v>3280</v>
      </c>
      <c r="C337" s="1000" t="s">
        <v>3279</v>
      </c>
      <c r="D337" s="1025" t="s">
        <v>265</v>
      </c>
      <c r="E337" s="1001">
        <v>22</v>
      </c>
      <c r="F337" s="1001">
        <v>22</v>
      </c>
      <c r="G337" s="1001">
        <f>SUM(G338:G339)</f>
        <v>8000</v>
      </c>
      <c r="H337" s="1001">
        <v>24</v>
      </c>
      <c r="I337" s="1001">
        <f>SUM(I338:I339)</f>
        <v>16000</v>
      </c>
      <c r="J337" s="1001">
        <v>28</v>
      </c>
      <c r="K337" s="1001">
        <f>SUM(K338:K339)</f>
        <v>10000</v>
      </c>
      <c r="L337" s="1001">
        <v>32</v>
      </c>
      <c r="M337" s="1001">
        <f>SUM(M338:M339)</f>
        <v>11000</v>
      </c>
      <c r="N337" s="1001">
        <v>36</v>
      </c>
      <c r="O337" s="1001">
        <f>SUM(O338:O339)</f>
        <v>12000</v>
      </c>
      <c r="P337" s="1001">
        <v>40</v>
      </c>
      <c r="Q337" s="1001">
        <f>SUM(Q338:Q339)</f>
        <v>13000</v>
      </c>
      <c r="R337" s="1001">
        <f>N337</f>
        <v>36</v>
      </c>
      <c r="S337" s="1004"/>
      <c r="T337" s="1004"/>
    </row>
    <row r="338" spans="2:20" s="1003" customFormat="1" ht="63.75" x14ac:dyDescent="0.25">
      <c r="B338" s="1008" t="s">
        <v>1298</v>
      </c>
      <c r="C338" s="1000" t="s">
        <v>3447</v>
      </c>
      <c r="D338" s="1025" t="s">
        <v>275</v>
      </c>
      <c r="E338" s="1001"/>
      <c r="F338" s="1001">
        <f>F339</f>
        <v>2</v>
      </c>
      <c r="G338" s="1001">
        <f t="shared" ref="G338:Q338" si="41">G339</f>
        <v>4000</v>
      </c>
      <c r="H338" s="1001">
        <f t="shared" si="41"/>
        <v>2</v>
      </c>
      <c r="I338" s="1001">
        <f t="shared" si="41"/>
        <v>8000</v>
      </c>
      <c r="J338" s="1001">
        <f t="shared" si="41"/>
        <v>2</v>
      </c>
      <c r="K338" s="1001">
        <f t="shared" si="41"/>
        <v>5000</v>
      </c>
      <c r="L338" s="1001">
        <f t="shared" si="41"/>
        <v>2</v>
      </c>
      <c r="M338" s="1001">
        <f t="shared" si="41"/>
        <v>5500</v>
      </c>
      <c r="N338" s="1001">
        <f t="shared" si="41"/>
        <v>2</v>
      </c>
      <c r="O338" s="1001">
        <f t="shared" si="41"/>
        <v>6000</v>
      </c>
      <c r="P338" s="1001">
        <f t="shared" si="41"/>
        <v>2</v>
      </c>
      <c r="Q338" s="1001">
        <f t="shared" si="41"/>
        <v>6500</v>
      </c>
      <c r="R338" s="1001"/>
      <c r="S338" s="1004"/>
      <c r="T338" s="1004"/>
    </row>
    <row r="339" spans="2:20" s="1003" customFormat="1" ht="63.75" x14ac:dyDescent="0.25">
      <c r="B339" s="1008" t="s">
        <v>3282</v>
      </c>
      <c r="C339" s="1000" t="s">
        <v>3447</v>
      </c>
      <c r="D339" s="1025" t="s">
        <v>275</v>
      </c>
      <c r="E339" s="1001"/>
      <c r="F339" s="1001">
        <v>2</v>
      </c>
      <c r="G339" s="1001">
        <v>4000</v>
      </c>
      <c r="H339" s="1001">
        <v>2</v>
      </c>
      <c r="I339" s="1001">
        <v>8000</v>
      </c>
      <c r="J339" s="1001">
        <v>2</v>
      </c>
      <c r="K339" s="1001">
        <v>5000</v>
      </c>
      <c r="L339" s="1001">
        <v>2</v>
      </c>
      <c r="M339" s="1001">
        <v>5500</v>
      </c>
      <c r="N339" s="1001">
        <v>2</v>
      </c>
      <c r="O339" s="1001">
        <v>6000</v>
      </c>
      <c r="P339" s="1001">
        <v>2</v>
      </c>
      <c r="Q339" s="1001">
        <v>6500</v>
      </c>
      <c r="R339" s="1001"/>
      <c r="S339" s="1004"/>
      <c r="T339" s="1004"/>
    </row>
    <row r="340" spans="2:20" s="1003" customFormat="1" ht="48" x14ac:dyDescent="0.25">
      <c r="B340" s="1106" t="s">
        <v>3289</v>
      </c>
      <c r="C340" s="1009" t="s">
        <v>3448</v>
      </c>
      <c r="D340" s="1025" t="s">
        <v>275</v>
      </c>
      <c r="E340" s="1001">
        <v>0</v>
      </c>
      <c r="F340" s="1001">
        <f>F341</f>
        <v>1</v>
      </c>
      <c r="G340" s="1001">
        <f t="shared" ref="G340:Q340" si="42">G341</f>
        <v>10000</v>
      </c>
      <c r="H340" s="1001">
        <f t="shared" si="42"/>
        <v>1</v>
      </c>
      <c r="I340" s="1001">
        <f t="shared" si="42"/>
        <v>15000</v>
      </c>
      <c r="J340" s="1001">
        <f t="shared" si="42"/>
        <v>1</v>
      </c>
      <c r="K340" s="1001">
        <f t="shared" si="42"/>
        <v>16500</v>
      </c>
      <c r="L340" s="1001">
        <f t="shared" si="42"/>
        <v>1</v>
      </c>
      <c r="M340" s="1001">
        <f t="shared" si="42"/>
        <v>17500</v>
      </c>
      <c r="N340" s="1001">
        <f t="shared" si="42"/>
        <v>1</v>
      </c>
      <c r="O340" s="1001">
        <f t="shared" si="42"/>
        <v>18500</v>
      </c>
      <c r="P340" s="1001">
        <f t="shared" si="42"/>
        <v>1</v>
      </c>
      <c r="Q340" s="1001">
        <f t="shared" si="42"/>
        <v>18500</v>
      </c>
      <c r="R340" s="1001">
        <f>F340+H340+J340+L340+N340</f>
        <v>5</v>
      </c>
      <c r="S340" s="1004"/>
      <c r="T340" s="1004"/>
    </row>
    <row r="341" spans="2:20" s="1003" customFormat="1" ht="76.5" x14ac:dyDescent="0.25">
      <c r="B341" s="998" t="s">
        <v>894</v>
      </c>
      <c r="C341" s="1009" t="s">
        <v>3448</v>
      </c>
      <c r="D341" s="1025" t="s">
        <v>275</v>
      </c>
      <c r="E341" s="1001"/>
      <c r="F341" s="1001">
        <v>1</v>
      </c>
      <c r="G341" s="1001">
        <v>10000</v>
      </c>
      <c r="H341" s="1001">
        <v>1</v>
      </c>
      <c r="I341" s="1001">
        <v>15000</v>
      </c>
      <c r="J341" s="1001">
        <v>1</v>
      </c>
      <c r="K341" s="1001">
        <v>16500</v>
      </c>
      <c r="L341" s="1001">
        <v>1</v>
      </c>
      <c r="M341" s="1001">
        <v>17500</v>
      </c>
      <c r="N341" s="1001">
        <v>1</v>
      </c>
      <c r="O341" s="1001">
        <v>18500</v>
      </c>
      <c r="P341" s="1001">
        <v>1</v>
      </c>
      <c r="Q341" s="1001">
        <v>18500</v>
      </c>
      <c r="R341" s="1001"/>
      <c r="S341" s="1004"/>
      <c r="T341" s="1004"/>
    </row>
    <row r="342" spans="2:20" s="1003" customFormat="1" ht="60" x14ac:dyDescent="0.25">
      <c r="B342" s="1063" t="s">
        <v>3449</v>
      </c>
      <c r="C342" s="1000" t="s">
        <v>3291</v>
      </c>
      <c r="D342" s="1025" t="s">
        <v>19</v>
      </c>
      <c r="E342" s="1001">
        <v>0</v>
      </c>
      <c r="F342" s="1001">
        <f>F343</f>
        <v>1</v>
      </c>
      <c r="G342" s="1001">
        <f t="shared" ref="G342:Q342" si="43">G343</f>
        <v>1000</v>
      </c>
      <c r="H342" s="1001">
        <f t="shared" si="43"/>
        <v>1</v>
      </c>
      <c r="I342" s="1001">
        <f t="shared" si="43"/>
        <v>2000</v>
      </c>
      <c r="J342" s="1001">
        <f t="shared" si="43"/>
        <v>0</v>
      </c>
      <c r="K342" s="1001">
        <f t="shared" si="43"/>
        <v>0</v>
      </c>
      <c r="L342" s="1001">
        <f t="shared" si="43"/>
        <v>21</v>
      </c>
      <c r="M342" s="1001">
        <f t="shared" si="43"/>
        <v>22000</v>
      </c>
      <c r="N342" s="1001">
        <f t="shared" si="43"/>
        <v>0</v>
      </c>
      <c r="O342" s="1001">
        <f t="shared" si="43"/>
        <v>0</v>
      </c>
      <c r="P342" s="1001">
        <f t="shared" si="43"/>
        <v>0</v>
      </c>
      <c r="Q342" s="1001">
        <f t="shared" si="43"/>
        <v>0</v>
      </c>
      <c r="R342" s="1001">
        <f>L342</f>
        <v>21</v>
      </c>
      <c r="S342" s="1004"/>
      <c r="T342" s="1004"/>
    </row>
    <row r="343" spans="2:20" s="1003" customFormat="1" ht="38.25" x14ac:dyDescent="0.25">
      <c r="B343" s="1008" t="s">
        <v>3293</v>
      </c>
      <c r="C343" s="1000" t="s">
        <v>3294</v>
      </c>
      <c r="D343" s="1025" t="s">
        <v>265</v>
      </c>
      <c r="E343" s="1001"/>
      <c r="F343" s="1001">
        <v>1</v>
      </c>
      <c r="G343" s="1001">
        <v>1000</v>
      </c>
      <c r="H343" s="1001">
        <v>1</v>
      </c>
      <c r="I343" s="1001">
        <v>2000</v>
      </c>
      <c r="J343" s="1001"/>
      <c r="K343" s="1001"/>
      <c r="L343" s="1001">
        <v>21</v>
      </c>
      <c r="M343" s="1001">
        <v>22000</v>
      </c>
      <c r="N343" s="1001"/>
      <c r="O343" s="1001"/>
      <c r="P343" s="1001"/>
      <c r="Q343" s="1001"/>
      <c r="R343" s="1001"/>
      <c r="S343" s="1004"/>
      <c r="T343" s="1004"/>
    </row>
    <row r="344" spans="2:20" s="1003" customFormat="1" ht="60" x14ac:dyDescent="0.25">
      <c r="B344" s="1063" t="s">
        <v>3296</v>
      </c>
      <c r="C344" s="1000" t="s">
        <v>3295</v>
      </c>
      <c r="D344" s="1025" t="s">
        <v>265</v>
      </c>
      <c r="E344" s="1001">
        <v>22</v>
      </c>
      <c r="F344" s="1001">
        <f>F345</f>
        <v>22</v>
      </c>
      <c r="G344" s="1001">
        <f t="shared" ref="G344:Q344" si="44">G345</f>
        <v>4500</v>
      </c>
      <c r="H344" s="1001">
        <f t="shared" si="44"/>
        <v>22</v>
      </c>
      <c r="I344" s="1001">
        <f t="shared" si="44"/>
        <v>8000</v>
      </c>
      <c r="J344" s="1001">
        <f t="shared" si="44"/>
        <v>22</v>
      </c>
      <c r="K344" s="1001">
        <f t="shared" si="44"/>
        <v>8000</v>
      </c>
      <c r="L344" s="1001">
        <f t="shared" si="44"/>
        <v>22</v>
      </c>
      <c r="M344" s="1001">
        <f t="shared" si="44"/>
        <v>10000</v>
      </c>
      <c r="N344" s="1001">
        <f t="shared" si="44"/>
        <v>22</v>
      </c>
      <c r="O344" s="1001">
        <f t="shared" si="44"/>
        <v>10000</v>
      </c>
      <c r="P344" s="1001">
        <f t="shared" si="44"/>
        <v>22</v>
      </c>
      <c r="Q344" s="1001">
        <f t="shared" si="44"/>
        <v>12000</v>
      </c>
      <c r="R344" s="1001">
        <f>N344</f>
        <v>22</v>
      </c>
      <c r="S344" s="1004"/>
      <c r="T344" s="1004"/>
    </row>
    <row r="345" spans="2:20" s="1003" customFormat="1" x14ac:dyDescent="0.25">
      <c r="B345" s="1008" t="s">
        <v>383</v>
      </c>
      <c r="C345" s="1000" t="s">
        <v>3297</v>
      </c>
      <c r="D345" s="1025"/>
      <c r="E345" s="1001"/>
      <c r="F345" s="1001">
        <v>22</v>
      </c>
      <c r="G345" s="1001">
        <v>4500</v>
      </c>
      <c r="H345" s="1001">
        <v>22</v>
      </c>
      <c r="I345" s="1001">
        <v>8000</v>
      </c>
      <c r="J345" s="1001">
        <v>22</v>
      </c>
      <c r="K345" s="1001">
        <v>8000</v>
      </c>
      <c r="L345" s="1001">
        <v>22</v>
      </c>
      <c r="M345" s="1001">
        <v>10000</v>
      </c>
      <c r="N345" s="1001">
        <v>22</v>
      </c>
      <c r="O345" s="1001">
        <v>10000</v>
      </c>
      <c r="P345" s="1001">
        <v>22</v>
      </c>
      <c r="Q345" s="1001">
        <v>12000</v>
      </c>
      <c r="R345" s="1001"/>
      <c r="S345" s="1004"/>
      <c r="T345" s="1004"/>
    </row>
    <row r="346" spans="2:20" s="1003" customFormat="1" x14ac:dyDescent="0.25">
      <c r="B346" s="1027" t="s">
        <v>2651</v>
      </c>
      <c r="C346" s="1000"/>
      <c r="D346" s="1000"/>
      <c r="E346" s="1000"/>
      <c r="F346" s="1000"/>
      <c r="G346" s="1012">
        <f>G344+G342+G340+G337+G335+G332+G330+G328+G326+G324+G316+G301</f>
        <v>316102</v>
      </c>
      <c r="H346" s="1000"/>
      <c r="I346" s="1012">
        <f>I344+I342+I340+I337+I335+I332+I330+I328+I326+I324+I316+I301</f>
        <v>353500</v>
      </c>
      <c r="J346" s="1000"/>
      <c r="K346" s="1012">
        <f>K344+K342+K340+K337+K335+K332+K330+K328+K326+K324+K316+K301</f>
        <v>329500</v>
      </c>
      <c r="L346" s="1000"/>
      <c r="M346" s="1012">
        <f>M344+M342+M340+M337+M335+M332+M330+M328+M326+M324+M316+M301</f>
        <v>377900</v>
      </c>
      <c r="N346" s="1000"/>
      <c r="O346" s="1012">
        <f>O344+O342+O340+O337+O335+O332+O330+O328+O326+O324+O316+O301</f>
        <v>384300</v>
      </c>
      <c r="P346" s="1000"/>
      <c r="Q346" s="1012">
        <f>Q344+Q342+Q340+Q337+Q335+Q332+Q330+Q328+Q326+Q324+Q316+Q301</f>
        <v>417500</v>
      </c>
      <c r="R346" s="1000"/>
      <c r="S346" s="1013"/>
      <c r="T346" s="1013"/>
    </row>
    <row r="347" spans="2:20" s="1003" customFormat="1" x14ac:dyDescent="0.25">
      <c r="B347" s="1005"/>
      <c r="C347" s="1100"/>
      <c r="D347" s="1000"/>
      <c r="E347" s="1001"/>
      <c r="F347" s="1001"/>
      <c r="G347" s="1001"/>
      <c r="H347" s="1001"/>
      <c r="I347" s="1001"/>
      <c r="J347" s="1001"/>
      <c r="K347" s="1001"/>
      <c r="L347" s="1001"/>
      <c r="M347" s="1001"/>
      <c r="N347" s="1001"/>
      <c r="O347" s="1001"/>
      <c r="P347" s="1001"/>
      <c r="Q347" s="1001"/>
      <c r="R347" s="1001"/>
      <c r="S347" s="1004"/>
      <c r="T347" s="1004"/>
    </row>
    <row r="348" spans="2:20" s="1003" customFormat="1" x14ac:dyDescent="0.25">
      <c r="B348" s="1167" t="s">
        <v>3460</v>
      </c>
      <c r="C348" s="1100"/>
      <c r="D348" s="1000"/>
      <c r="E348" s="1001"/>
      <c r="F348" s="1001"/>
      <c r="G348" s="1001"/>
      <c r="H348" s="1001"/>
      <c r="I348" s="1001"/>
      <c r="J348" s="1001"/>
      <c r="K348" s="1001"/>
      <c r="L348" s="1001"/>
      <c r="M348" s="1001"/>
      <c r="N348" s="1001"/>
      <c r="O348" s="1001"/>
      <c r="P348" s="1001"/>
      <c r="Q348" s="1001"/>
      <c r="R348" s="1001"/>
      <c r="S348" s="1004"/>
      <c r="T348" s="1004"/>
    </row>
    <row r="349" spans="2:20" s="1003" customFormat="1" ht="51" customHeight="1" x14ac:dyDescent="0.25">
      <c r="B349" s="998"/>
      <c r="C349" s="999" t="s">
        <v>3228</v>
      </c>
      <c r="D349" s="1025" t="s">
        <v>19</v>
      </c>
      <c r="E349" s="1001">
        <v>90</v>
      </c>
      <c r="F349" s="1001">
        <v>93</v>
      </c>
      <c r="G349" s="1001"/>
      <c r="H349" s="1001">
        <v>94</v>
      </c>
      <c r="I349" s="1001"/>
      <c r="J349" s="1001">
        <v>95</v>
      </c>
      <c r="K349" s="1001"/>
      <c r="L349" s="1001">
        <v>96</v>
      </c>
      <c r="M349" s="1001"/>
      <c r="N349" s="1001">
        <v>97</v>
      </c>
      <c r="O349" s="1001"/>
      <c r="P349" s="1001">
        <v>98</v>
      </c>
      <c r="Q349" s="1001"/>
      <c r="R349" s="1001">
        <v>97</v>
      </c>
      <c r="S349" s="1002"/>
      <c r="T349" s="1002"/>
    </row>
    <row r="350" spans="2:20" s="1003" customFormat="1" ht="63.75" x14ac:dyDescent="0.25">
      <c r="B350" s="1106" t="s">
        <v>3229</v>
      </c>
      <c r="C350" s="1000" t="s">
        <v>1488</v>
      </c>
      <c r="D350" s="1025" t="s">
        <v>19</v>
      </c>
      <c r="E350" s="1001">
        <v>100</v>
      </c>
      <c r="F350" s="1001">
        <v>20</v>
      </c>
      <c r="G350" s="1001">
        <f>SUM(G351:G363)</f>
        <v>96122</v>
      </c>
      <c r="H350" s="1001">
        <v>20</v>
      </c>
      <c r="I350" s="1001">
        <f>SUM(I351:I363)</f>
        <v>113000</v>
      </c>
      <c r="J350" s="1001">
        <v>20</v>
      </c>
      <c r="K350" s="1001">
        <f>SUM(K351:K363)</f>
        <v>127400</v>
      </c>
      <c r="L350" s="1001">
        <v>20</v>
      </c>
      <c r="M350" s="1001">
        <f>SUM(M351:M363)</f>
        <v>140800</v>
      </c>
      <c r="N350" s="1001">
        <v>20</v>
      </c>
      <c r="O350" s="1001">
        <f>SUM(O351:O363)</f>
        <v>155700</v>
      </c>
      <c r="P350" s="1001">
        <v>20</v>
      </c>
      <c r="Q350" s="1001">
        <f>SUM(Q351:Q363)</f>
        <v>169400</v>
      </c>
      <c r="R350" s="1001">
        <v>100</v>
      </c>
      <c r="S350" s="1004"/>
      <c r="T350" s="1004"/>
    </row>
    <row r="351" spans="2:20" s="1003" customFormat="1" ht="25.5" x14ac:dyDescent="0.25">
      <c r="B351" s="998" t="s">
        <v>124</v>
      </c>
      <c r="C351" s="1100" t="s">
        <v>3230</v>
      </c>
      <c r="D351" s="1025" t="s">
        <v>40</v>
      </c>
      <c r="E351" s="1001">
        <v>1000</v>
      </c>
      <c r="F351" s="1001">
        <v>12</v>
      </c>
      <c r="G351" s="1001">
        <v>1200</v>
      </c>
      <c r="H351" s="1001">
        <v>12</v>
      </c>
      <c r="I351" s="1001">
        <v>1500</v>
      </c>
      <c r="J351" s="1001">
        <v>12</v>
      </c>
      <c r="K351" s="1001">
        <v>1800</v>
      </c>
      <c r="L351" s="1001">
        <v>12</v>
      </c>
      <c r="M351" s="1001">
        <v>2100</v>
      </c>
      <c r="N351" s="1001">
        <v>12</v>
      </c>
      <c r="O351" s="1001">
        <v>2400</v>
      </c>
      <c r="P351" s="1001">
        <v>12</v>
      </c>
      <c r="Q351" s="1001">
        <v>2600</v>
      </c>
      <c r="R351" s="1001"/>
      <c r="S351" s="1004"/>
      <c r="T351" s="1004"/>
    </row>
    <row r="352" spans="2:20" s="1003" customFormat="1" ht="51" x14ac:dyDescent="0.25">
      <c r="B352" s="1005" t="s">
        <v>126</v>
      </c>
      <c r="C352" s="1100" t="s">
        <v>2518</v>
      </c>
      <c r="D352" s="1025" t="s">
        <v>40</v>
      </c>
      <c r="E352" s="1001">
        <v>15000</v>
      </c>
      <c r="F352" s="1001">
        <v>12</v>
      </c>
      <c r="G352" s="1001">
        <v>13000</v>
      </c>
      <c r="H352" s="1001">
        <v>12</v>
      </c>
      <c r="I352" s="1001">
        <v>16000</v>
      </c>
      <c r="J352" s="1001">
        <v>12</v>
      </c>
      <c r="K352" s="1001">
        <v>18000</v>
      </c>
      <c r="L352" s="1001">
        <v>12</v>
      </c>
      <c r="M352" s="1001">
        <v>20000</v>
      </c>
      <c r="N352" s="1001">
        <v>12</v>
      </c>
      <c r="O352" s="1001">
        <v>22000</v>
      </c>
      <c r="P352" s="1001">
        <v>12</v>
      </c>
      <c r="Q352" s="1001">
        <v>23000</v>
      </c>
      <c r="R352" s="1001"/>
      <c r="S352" s="1004"/>
      <c r="T352" s="1004"/>
    </row>
    <row r="353" spans="2:20" s="1003" customFormat="1" ht="76.5" x14ac:dyDescent="0.25">
      <c r="B353" s="1005" t="s">
        <v>3231</v>
      </c>
      <c r="C353" s="1100" t="s">
        <v>2519</v>
      </c>
      <c r="D353" s="1025" t="s">
        <v>40</v>
      </c>
      <c r="E353" s="1001">
        <v>25000</v>
      </c>
      <c r="F353" s="1001">
        <v>12</v>
      </c>
      <c r="G353" s="1001">
        <v>27000</v>
      </c>
      <c r="H353" s="1001">
        <v>12</v>
      </c>
      <c r="I353" s="1001">
        <v>29000</v>
      </c>
      <c r="J353" s="1001">
        <v>12</v>
      </c>
      <c r="K353" s="1001">
        <v>30000</v>
      </c>
      <c r="L353" s="1001">
        <v>12</v>
      </c>
      <c r="M353" s="1001">
        <v>32000</v>
      </c>
      <c r="N353" s="1001">
        <v>12</v>
      </c>
      <c r="O353" s="1001">
        <v>34000</v>
      </c>
      <c r="P353" s="1001">
        <v>12</v>
      </c>
      <c r="Q353" s="1001">
        <v>35000</v>
      </c>
      <c r="R353" s="1001"/>
      <c r="S353" s="1004"/>
      <c r="T353" s="1004"/>
    </row>
    <row r="354" spans="2:20" s="1003" customFormat="1" ht="38.25" x14ac:dyDescent="0.25">
      <c r="B354" s="1005" t="s">
        <v>45</v>
      </c>
      <c r="C354" s="1100" t="s">
        <v>2520</v>
      </c>
      <c r="D354" s="1025" t="s">
        <v>40</v>
      </c>
      <c r="E354" s="1001">
        <v>11880</v>
      </c>
      <c r="F354" s="1001">
        <v>12</v>
      </c>
      <c r="G354" s="1001">
        <v>15000</v>
      </c>
      <c r="H354" s="1001">
        <v>12</v>
      </c>
      <c r="I354" s="1001">
        <v>17000</v>
      </c>
      <c r="J354" s="1001">
        <v>12</v>
      </c>
      <c r="K354" s="1001">
        <v>19000</v>
      </c>
      <c r="L354" s="1001">
        <v>12</v>
      </c>
      <c r="M354" s="1001">
        <v>21000</v>
      </c>
      <c r="N354" s="1001">
        <v>12</v>
      </c>
      <c r="O354" s="1001">
        <v>23000</v>
      </c>
      <c r="P354" s="1001">
        <v>12</v>
      </c>
      <c r="Q354" s="1001">
        <v>25000</v>
      </c>
      <c r="R354" s="1001"/>
      <c r="S354" s="1004"/>
      <c r="T354" s="1004"/>
    </row>
    <row r="355" spans="2:20" s="1003" customFormat="1" ht="38.25" x14ac:dyDescent="0.25">
      <c r="B355" s="1005" t="s">
        <v>47</v>
      </c>
      <c r="C355" s="1100" t="s">
        <v>2521</v>
      </c>
      <c r="D355" s="1025" t="s">
        <v>40</v>
      </c>
      <c r="E355" s="1001">
        <v>3000</v>
      </c>
      <c r="F355" s="1001">
        <v>12</v>
      </c>
      <c r="G355" s="1001">
        <v>3500</v>
      </c>
      <c r="H355" s="1001">
        <v>12</v>
      </c>
      <c r="I355" s="1001">
        <v>4500</v>
      </c>
      <c r="J355" s="1001">
        <v>12</v>
      </c>
      <c r="K355" s="1001">
        <v>5000</v>
      </c>
      <c r="L355" s="1001">
        <v>12</v>
      </c>
      <c r="M355" s="1001">
        <v>6000</v>
      </c>
      <c r="N355" s="1001">
        <v>12</v>
      </c>
      <c r="O355" s="1001">
        <v>7500</v>
      </c>
      <c r="P355" s="1001">
        <v>12</v>
      </c>
      <c r="Q355" s="1001">
        <v>9000</v>
      </c>
      <c r="R355" s="1001"/>
      <c r="S355" s="1004"/>
      <c r="T355" s="1004"/>
    </row>
    <row r="356" spans="2:20" s="1003" customFormat="1" ht="51" x14ac:dyDescent="0.25">
      <c r="B356" s="1005" t="s">
        <v>923</v>
      </c>
      <c r="C356" s="1100" t="s">
        <v>2522</v>
      </c>
      <c r="D356" s="1025" t="s">
        <v>40</v>
      </c>
      <c r="E356" s="1001">
        <v>3000</v>
      </c>
      <c r="F356" s="1001">
        <v>12</v>
      </c>
      <c r="G356" s="1001">
        <v>3000</v>
      </c>
      <c r="H356" s="1001">
        <v>12</v>
      </c>
      <c r="I356" s="1001">
        <v>4500</v>
      </c>
      <c r="J356" s="1001">
        <v>12</v>
      </c>
      <c r="K356" s="1001">
        <v>5000</v>
      </c>
      <c r="L356" s="1001">
        <v>12</v>
      </c>
      <c r="M356" s="1001">
        <v>6000</v>
      </c>
      <c r="N356" s="1001">
        <v>12</v>
      </c>
      <c r="O356" s="1001">
        <v>7000</v>
      </c>
      <c r="P356" s="1001">
        <v>12</v>
      </c>
      <c r="Q356" s="1001">
        <v>7500</v>
      </c>
      <c r="R356" s="1001"/>
      <c r="S356" s="1004"/>
      <c r="T356" s="1004"/>
    </row>
    <row r="357" spans="2:20" s="1003" customFormat="1" ht="38.25" x14ac:dyDescent="0.25">
      <c r="B357" s="1005" t="s">
        <v>50</v>
      </c>
      <c r="C357" s="1100" t="s">
        <v>2523</v>
      </c>
      <c r="D357" s="1025" t="s">
        <v>40</v>
      </c>
      <c r="E357" s="1001">
        <v>3500</v>
      </c>
      <c r="F357" s="1001">
        <v>12</v>
      </c>
      <c r="G357" s="1001">
        <v>4000</v>
      </c>
      <c r="H357" s="1001">
        <v>12</v>
      </c>
      <c r="I357" s="1001">
        <v>5000</v>
      </c>
      <c r="J357" s="1001">
        <v>12</v>
      </c>
      <c r="K357" s="1001">
        <v>6000</v>
      </c>
      <c r="L357" s="1001">
        <v>12</v>
      </c>
      <c r="M357" s="1001">
        <v>7000</v>
      </c>
      <c r="N357" s="1001">
        <v>12</v>
      </c>
      <c r="O357" s="1001">
        <v>8000</v>
      </c>
      <c r="P357" s="1001">
        <v>12</v>
      </c>
      <c r="Q357" s="1001">
        <v>9000</v>
      </c>
      <c r="R357" s="1001"/>
      <c r="S357" s="1004"/>
      <c r="T357" s="1004"/>
    </row>
    <row r="358" spans="2:20" s="1003" customFormat="1" ht="51" x14ac:dyDescent="0.25">
      <c r="B358" s="1005" t="s">
        <v>52</v>
      </c>
      <c r="C358" s="1100" t="s">
        <v>2524</v>
      </c>
      <c r="D358" s="1025" t="s">
        <v>40</v>
      </c>
      <c r="E358" s="1001">
        <v>3000</v>
      </c>
      <c r="F358" s="1001">
        <v>12</v>
      </c>
      <c r="G358" s="1001">
        <v>3422</v>
      </c>
      <c r="H358" s="1001">
        <v>12</v>
      </c>
      <c r="I358" s="1001">
        <v>4000</v>
      </c>
      <c r="J358" s="1001">
        <v>12</v>
      </c>
      <c r="K358" s="1001">
        <v>5000</v>
      </c>
      <c r="L358" s="1001">
        <v>12</v>
      </c>
      <c r="M358" s="1001">
        <v>6000</v>
      </c>
      <c r="N358" s="1001">
        <v>12</v>
      </c>
      <c r="O358" s="1001">
        <v>7000</v>
      </c>
      <c r="P358" s="1001">
        <v>12</v>
      </c>
      <c r="Q358" s="1001">
        <v>8000</v>
      </c>
      <c r="R358" s="1001"/>
      <c r="S358" s="1004"/>
      <c r="T358" s="1004"/>
    </row>
    <row r="359" spans="2:20" s="1003" customFormat="1" ht="76.5" x14ac:dyDescent="0.25">
      <c r="B359" s="1005" t="s">
        <v>782</v>
      </c>
      <c r="C359" s="1100" t="s">
        <v>2525</v>
      </c>
      <c r="D359" s="1025" t="s">
        <v>40</v>
      </c>
      <c r="E359" s="1001">
        <v>2500</v>
      </c>
      <c r="F359" s="1001">
        <v>12</v>
      </c>
      <c r="G359" s="1001">
        <v>2500</v>
      </c>
      <c r="H359" s="1001">
        <v>12</v>
      </c>
      <c r="I359" s="1001">
        <v>3000</v>
      </c>
      <c r="J359" s="1001">
        <v>12</v>
      </c>
      <c r="K359" s="1001">
        <v>4000</v>
      </c>
      <c r="L359" s="1001">
        <v>12</v>
      </c>
      <c r="M359" s="1001">
        <v>5000</v>
      </c>
      <c r="N359" s="1001">
        <v>12</v>
      </c>
      <c r="O359" s="1001">
        <v>6000</v>
      </c>
      <c r="P359" s="1001">
        <v>12</v>
      </c>
      <c r="Q359" s="1001">
        <v>6500</v>
      </c>
      <c r="R359" s="1001"/>
      <c r="S359" s="1004"/>
      <c r="T359" s="1004"/>
    </row>
    <row r="360" spans="2:20" s="1003" customFormat="1" ht="63.75" x14ac:dyDescent="0.25">
      <c r="B360" s="1005" t="s">
        <v>3232</v>
      </c>
      <c r="C360" s="1100" t="s">
        <v>2526</v>
      </c>
      <c r="D360" s="1025" t="s">
        <v>40</v>
      </c>
      <c r="E360" s="1001">
        <v>1200</v>
      </c>
      <c r="F360" s="1001">
        <v>12</v>
      </c>
      <c r="G360" s="1001">
        <v>1500</v>
      </c>
      <c r="H360" s="1001">
        <v>12</v>
      </c>
      <c r="I360" s="1001">
        <v>1500</v>
      </c>
      <c r="J360" s="1001">
        <v>12</v>
      </c>
      <c r="K360" s="1001">
        <v>1600</v>
      </c>
      <c r="L360" s="1001">
        <v>12</v>
      </c>
      <c r="M360" s="1001">
        <v>1700</v>
      </c>
      <c r="N360" s="1001">
        <v>12</v>
      </c>
      <c r="O360" s="1001">
        <v>1800</v>
      </c>
      <c r="P360" s="1001">
        <v>12</v>
      </c>
      <c r="Q360" s="1001">
        <v>1800</v>
      </c>
      <c r="R360" s="1001"/>
      <c r="S360" s="1004"/>
      <c r="T360" s="1004"/>
    </row>
    <row r="361" spans="2:20" s="1003" customFormat="1" ht="38.25" x14ac:dyDescent="0.25">
      <c r="B361" s="1005" t="s">
        <v>58</v>
      </c>
      <c r="C361" s="1100" t="s">
        <v>2527</v>
      </c>
      <c r="D361" s="1025" t="s">
        <v>40</v>
      </c>
      <c r="E361" s="1001">
        <v>7000</v>
      </c>
      <c r="F361" s="1001">
        <v>12</v>
      </c>
      <c r="G361" s="1001">
        <v>10000</v>
      </c>
      <c r="H361" s="1001">
        <v>12</v>
      </c>
      <c r="I361" s="1001">
        <v>12000</v>
      </c>
      <c r="J361" s="1001">
        <v>12</v>
      </c>
      <c r="K361" s="1001">
        <v>14000</v>
      </c>
      <c r="L361" s="1001">
        <v>12</v>
      </c>
      <c r="M361" s="1001">
        <v>15000</v>
      </c>
      <c r="N361" s="1001">
        <v>12</v>
      </c>
      <c r="O361" s="1001">
        <v>16000</v>
      </c>
      <c r="P361" s="1001">
        <v>12</v>
      </c>
      <c r="Q361" s="1001">
        <v>18000</v>
      </c>
      <c r="R361" s="1001"/>
      <c r="S361" s="1004"/>
      <c r="T361" s="1004"/>
    </row>
    <row r="362" spans="2:20" s="1003" customFormat="1" ht="51" x14ac:dyDescent="0.25">
      <c r="B362" s="1005" t="s">
        <v>3233</v>
      </c>
      <c r="C362" s="1100" t="s">
        <v>2529</v>
      </c>
      <c r="D362" s="1025" t="s">
        <v>40</v>
      </c>
      <c r="E362" s="1001">
        <v>11200</v>
      </c>
      <c r="F362" s="1001">
        <v>12</v>
      </c>
      <c r="G362" s="1001">
        <v>10000</v>
      </c>
      <c r="H362" s="1001">
        <v>12</v>
      </c>
      <c r="I362" s="1001">
        <v>12000</v>
      </c>
      <c r="J362" s="1001">
        <v>12</v>
      </c>
      <c r="K362" s="1001">
        <v>14000</v>
      </c>
      <c r="L362" s="1001">
        <v>12</v>
      </c>
      <c r="M362" s="1001">
        <v>15000</v>
      </c>
      <c r="N362" s="1001">
        <v>12</v>
      </c>
      <c r="O362" s="1001">
        <v>17000</v>
      </c>
      <c r="P362" s="1001">
        <v>12</v>
      </c>
      <c r="Q362" s="1001">
        <v>19000</v>
      </c>
      <c r="R362" s="1001"/>
      <c r="S362" s="1004"/>
      <c r="T362" s="1004"/>
    </row>
    <row r="363" spans="2:20" s="1003" customFormat="1" ht="51" x14ac:dyDescent="0.25">
      <c r="B363" s="1102" t="s">
        <v>137</v>
      </c>
      <c r="C363" s="1100" t="s">
        <v>2528</v>
      </c>
      <c r="D363" s="1025" t="s">
        <v>40</v>
      </c>
      <c r="E363" s="1001">
        <v>0</v>
      </c>
      <c r="F363" s="1001">
        <v>12</v>
      </c>
      <c r="G363" s="1001">
        <v>2000</v>
      </c>
      <c r="H363" s="1001">
        <v>12</v>
      </c>
      <c r="I363" s="1001">
        <v>3000</v>
      </c>
      <c r="J363" s="1001">
        <v>12</v>
      </c>
      <c r="K363" s="1001">
        <v>4000</v>
      </c>
      <c r="L363" s="1001">
        <v>12</v>
      </c>
      <c r="M363" s="1001">
        <v>4000</v>
      </c>
      <c r="N363" s="1001">
        <v>12</v>
      </c>
      <c r="O363" s="1001">
        <v>4000</v>
      </c>
      <c r="P363" s="1001">
        <v>12</v>
      </c>
      <c r="Q363" s="1001">
        <v>5000</v>
      </c>
      <c r="R363" s="1001"/>
      <c r="S363" s="1004"/>
      <c r="T363" s="1004"/>
    </row>
    <row r="364" spans="2:20" s="1003" customFormat="1" ht="38.25" customHeight="1" x14ac:dyDescent="0.25">
      <c r="B364" s="1061" t="s">
        <v>65</v>
      </c>
      <c r="C364" s="999" t="s">
        <v>3234</v>
      </c>
      <c r="D364" s="1015" t="s">
        <v>19</v>
      </c>
      <c r="E364" s="1001">
        <v>70</v>
      </c>
      <c r="F364" s="1001">
        <v>3</v>
      </c>
      <c r="G364" s="2114">
        <f>SUM(G366:G370)</f>
        <v>27500</v>
      </c>
      <c r="H364" s="1001">
        <v>2</v>
      </c>
      <c r="I364" s="2114">
        <f>SUM(I366:I370)</f>
        <v>1063000</v>
      </c>
      <c r="J364" s="1001">
        <v>3</v>
      </c>
      <c r="K364" s="2114">
        <f>SUM(K366:K370)</f>
        <v>59000</v>
      </c>
      <c r="L364" s="1001">
        <v>2</v>
      </c>
      <c r="M364" s="2114">
        <f>SUM(M366:M370)</f>
        <v>68000</v>
      </c>
      <c r="N364" s="1001">
        <v>3</v>
      </c>
      <c r="O364" s="2114">
        <f>SUM(O366:O370)</f>
        <v>85000</v>
      </c>
      <c r="P364" s="1001">
        <v>2</v>
      </c>
      <c r="Q364" s="2114">
        <f>SUM(Q366:Q370)</f>
        <v>100000</v>
      </c>
      <c r="R364" s="1001">
        <f>E364+F364+H364+J364+L364+N364</f>
        <v>83</v>
      </c>
      <c r="S364" s="1004"/>
      <c r="T364" s="1004"/>
    </row>
    <row r="365" spans="2:20" s="1003" customFormat="1" ht="38.25" x14ac:dyDescent="0.25">
      <c r="B365" s="1067"/>
      <c r="C365" s="999" t="s">
        <v>3235</v>
      </c>
      <c r="D365" s="1015" t="s">
        <v>19</v>
      </c>
      <c r="E365" s="1001">
        <v>100</v>
      </c>
      <c r="F365" s="1001">
        <v>100</v>
      </c>
      <c r="G365" s="2114"/>
      <c r="H365" s="1001">
        <v>100</v>
      </c>
      <c r="I365" s="2114"/>
      <c r="J365" s="1001">
        <v>100</v>
      </c>
      <c r="K365" s="2114"/>
      <c r="L365" s="1001">
        <v>100</v>
      </c>
      <c r="M365" s="2114"/>
      <c r="N365" s="1001">
        <v>100</v>
      </c>
      <c r="O365" s="2114"/>
      <c r="P365" s="1001">
        <v>100</v>
      </c>
      <c r="Q365" s="2114"/>
      <c r="R365" s="1001">
        <v>100</v>
      </c>
      <c r="S365" s="1004"/>
      <c r="T365" s="1004"/>
    </row>
    <row r="366" spans="2:20" s="1003" customFormat="1" ht="38.25" x14ac:dyDescent="0.25">
      <c r="B366" s="1007" t="s">
        <v>144</v>
      </c>
      <c r="C366" s="999" t="s">
        <v>3408</v>
      </c>
      <c r="D366" s="1015" t="s">
        <v>69</v>
      </c>
      <c r="E366" s="1001">
        <v>0</v>
      </c>
      <c r="F366" s="1001">
        <v>0</v>
      </c>
      <c r="G366" s="1001">
        <v>0</v>
      </c>
      <c r="H366" s="1001">
        <v>0</v>
      </c>
      <c r="I366" s="1001">
        <v>0</v>
      </c>
      <c r="J366" s="1001">
        <v>0</v>
      </c>
      <c r="K366" s="1001">
        <v>0</v>
      </c>
      <c r="L366" s="1001">
        <v>0</v>
      </c>
      <c r="M366" s="1001">
        <v>0</v>
      </c>
      <c r="N366" s="1001">
        <v>0</v>
      </c>
      <c r="O366" s="1001">
        <v>0</v>
      </c>
      <c r="P366" s="1001">
        <v>0</v>
      </c>
      <c r="Q366" s="1001">
        <v>0</v>
      </c>
      <c r="R366" s="1001"/>
      <c r="S366" s="1004"/>
      <c r="T366" s="1004"/>
    </row>
    <row r="367" spans="2:20" s="1003" customFormat="1" ht="25.5" x14ac:dyDescent="0.25">
      <c r="B367" s="998" t="s">
        <v>3236</v>
      </c>
      <c r="C367" s="1000" t="s">
        <v>3409</v>
      </c>
      <c r="D367" s="1025" t="s">
        <v>75</v>
      </c>
      <c r="E367" s="1001">
        <v>4000</v>
      </c>
      <c r="F367" s="1001">
        <v>10</v>
      </c>
      <c r="G367" s="1001">
        <v>4000</v>
      </c>
      <c r="H367" s="1001">
        <f>10+2</f>
        <v>12</v>
      </c>
      <c r="I367" s="1001">
        <v>10000</v>
      </c>
      <c r="J367" s="1001">
        <v>10</v>
      </c>
      <c r="K367" s="1001">
        <v>5000</v>
      </c>
      <c r="L367" s="1001">
        <v>12</v>
      </c>
      <c r="M367" s="1001">
        <v>10000</v>
      </c>
      <c r="N367" s="1001">
        <v>30</v>
      </c>
      <c r="O367" s="1001">
        <v>15000</v>
      </c>
      <c r="P367" s="1001">
        <v>20</v>
      </c>
      <c r="Q367" s="1001">
        <v>20000</v>
      </c>
      <c r="R367" s="1001"/>
      <c r="S367" s="1004"/>
      <c r="T367" s="1004"/>
    </row>
    <row r="368" spans="2:20" s="1003" customFormat="1" ht="25.5" x14ac:dyDescent="0.25">
      <c r="B368" s="998" t="s">
        <v>3238</v>
      </c>
      <c r="C368" s="1000" t="s">
        <v>3461</v>
      </c>
      <c r="D368" s="1025" t="s">
        <v>75</v>
      </c>
      <c r="E368" s="1001">
        <v>13000</v>
      </c>
      <c r="F368" s="1001">
        <f>3+2</f>
        <v>5</v>
      </c>
      <c r="G368" s="1001">
        <v>20500</v>
      </c>
      <c r="H368" s="1001">
        <v>3</v>
      </c>
      <c r="I368" s="1001">
        <v>18000</v>
      </c>
      <c r="J368" s="1001">
        <v>3</v>
      </c>
      <c r="K368" s="1001">
        <v>14000</v>
      </c>
      <c r="L368" s="1001">
        <v>3</v>
      </c>
      <c r="M368" s="1001">
        <v>18000</v>
      </c>
      <c r="N368" s="1001">
        <v>4</v>
      </c>
      <c r="O368" s="1001">
        <v>20000</v>
      </c>
      <c r="P368" s="1001">
        <v>4</v>
      </c>
      <c r="Q368" s="1001">
        <v>20000</v>
      </c>
      <c r="R368" s="1001"/>
      <c r="S368" s="1004"/>
      <c r="T368" s="1004"/>
    </row>
    <row r="369" spans="2:20" s="1003" customFormat="1" ht="38.25" x14ac:dyDescent="0.25">
      <c r="B369" s="1007" t="s">
        <v>3242</v>
      </c>
      <c r="C369" s="999" t="s">
        <v>3160</v>
      </c>
      <c r="D369" s="1015" t="s">
        <v>40</v>
      </c>
      <c r="E369" s="1001">
        <v>22322</v>
      </c>
      <c r="F369" s="1001">
        <v>12</v>
      </c>
      <c r="G369" s="1001">
        <v>3000</v>
      </c>
      <c r="H369" s="1001">
        <v>12</v>
      </c>
      <c r="I369" s="1001">
        <v>35000</v>
      </c>
      <c r="J369" s="1001">
        <v>12</v>
      </c>
      <c r="K369" s="1001">
        <v>40000</v>
      </c>
      <c r="L369" s="1001">
        <v>12</v>
      </c>
      <c r="M369" s="1001">
        <v>40000</v>
      </c>
      <c r="N369" s="1001">
        <v>12</v>
      </c>
      <c r="O369" s="1001">
        <v>50000</v>
      </c>
      <c r="P369" s="1001">
        <v>12</v>
      </c>
      <c r="Q369" s="1001">
        <v>60000</v>
      </c>
      <c r="R369" s="1001"/>
      <c r="S369" s="1004"/>
      <c r="T369" s="1004"/>
    </row>
    <row r="370" spans="2:20" s="1003" customFormat="1" ht="76.5" x14ac:dyDescent="0.25">
      <c r="B370" s="1007" t="s">
        <v>3462</v>
      </c>
      <c r="C370" s="999" t="s">
        <v>3463</v>
      </c>
      <c r="D370" s="1015" t="s">
        <v>75</v>
      </c>
      <c r="E370" s="1001">
        <v>0</v>
      </c>
      <c r="F370" s="1001">
        <v>0</v>
      </c>
      <c r="G370" s="1001">
        <v>0</v>
      </c>
      <c r="H370" s="1001">
        <v>1</v>
      </c>
      <c r="I370" s="1001">
        <v>1000000</v>
      </c>
      <c r="J370" s="1001">
        <v>0</v>
      </c>
      <c r="K370" s="1001">
        <v>0</v>
      </c>
      <c r="L370" s="1001">
        <v>0</v>
      </c>
      <c r="M370" s="1001">
        <v>0</v>
      </c>
      <c r="N370" s="1001">
        <v>0</v>
      </c>
      <c r="O370" s="1001">
        <v>0</v>
      </c>
      <c r="P370" s="1001">
        <v>0</v>
      </c>
      <c r="Q370" s="1001">
        <v>0</v>
      </c>
      <c r="R370" s="1001"/>
      <c r="S370" s="1004"/>
      <c r="T370" s="1004"/>
    </row>
    <row r="371" spans="2:20" s="1003" customFormat="1" ht="25.5" x14ac:dyDescent="0.25">
      <c r="B371" s="1007" t="s">
        <v>3464</v>
      </c>
      <c r="C371" s="999" t="s">
        <v>3464</v>
      </c>
      <c r="D371" s="1015" t="s">
        <v>251</v>
      </c>
      <c r="E371" s="1001">
        <v>0</v>
      </c>
      <c r="F371" s="1001">
        <v>0</v>
      </c>
      <c r="G371" s="1001">
        <v>0</v>
      </c>
      <c r="H371" s="1001">
        <v>2</v>
      </c>
      <c r="I371" s="1001">
        <v>28000</v>
      </c>
      <c r="J371" s="1001">
        <v>1</v>
      </c>
      <c r="K371" s="1001">
        <v>14000</v>
      </c>
      <c r="L371" s="1001">
        <v>1</v>
      </c>
      <c r="M371" s="1001">
        <v>15000</v>
      </c>
      <c r="N371" s="1001">
        <v>1</v>
      </c>
      <c r="O371" s="1001">
        <v>15000</v>
      </c>
      <c r="P371" s="1001">
        <v>0</v>
      </c>
      <c r="Q371" s="1001">
        <v>0</v>
      </c>
      <c r="R371" s="1001"/>
      <c r="S371" s="1004"/>
      <c r="T371" s="1004"/>
    </row>
    <row r="372" spans="2:20" s="1003" customFormat="1" ht="63.75" x14ac:dyDescent="0.25">
      <c r="B372" s="1106" t="s">
        <v>3245</v>
      </c>
      <c r="C372" s="1000" t="s">
        <v>3246</v>
      </c>
      <c r="D372" s="1025" t="s">
        <v>79</v>
      </c>
      <c r="E372" s="1001">
        <v>10</v>
      </c>
      <c r="F372" s="1001">
        <f>F373</f>
        <v>2</v>
      </c>
      <c r="G372" s="1001">
        <f>G373</f>
        <v>4000</v>
      </c>
      <c r="H372" s="1001">
        <f t="shared" ref="H372:Q372" si="45">H373</f>
        <v>2</v>
      </c>
      <c r="I372" s="1001">
        <f t="shared" si="45"/>
        <v>6000</v>
      </c>
      <c r="J372" s="1001">
        <f t="shared" si="45"/>
        <v>2</v>
      </c>
      <c r="K372" s="1001">
        <f t="shared" si="45"/>
        <v>7000</v>
      </c>
      <c r="L372" s="1001">
        <f t="shared" si="45"/>
        <v>2</v>
      </c>
      <c r="M372" s="1001">
        <f t="shared" si="45"/>
        <v>7500</v>
      </c>
      <c r="N372" s="1001">
        <f t="shared" si="45"/>
        <v>2</v>
      </c>
      <c r="O372" s="1001">
        <f t="shared" si="45"/>
        <v>8000</v>
      </c>
      <c r="P372" s="1001">
        <f t="shared" si="45"/>
        <v>2</v>
      </c>
      <c r="Q372" s="1001">
        <f t="shared" si="45"/>
        <v>8500</v>
      </c>
      <c r="R372" s="1001">
        <f>E372+F372+H372+J372+L372+N372</f>
        <v>20</v>
      </c>
      <c r="S372" s="1004"/>
      <c r="T372" s="1004"/>
    </row>
    <row r="373" spans="2:20" s="1003" customFormat="1" ht="102" x14ac:dyDescent="0.25">
      <c r="B373" s="998" t="s">
        <v>80</v>
      </c>
      <c r="C373" s="1000" t="s">
        <v>3247</v>
      </c>
      <c r="D373" s="1025" t="s">
        <v>79</v>
      </c>
      <c r="E373" s="1001">
        <v>3000</v>
      </c>
      <c r="F373" s="1001">
        <v>2</v>
      </c>
      <c r="G373" s="1001">
        <v>4000</v>
      </c>
      <c r="H373" s="1001">
        <v>2</v>
      </c>
      <c r="I373" s="1001">
        <v>6000</v>
      </c>
      <c r="J373" s="1001">
        <v>2</v>
      </c>
      <c r="K373" s="1001">
        <v>7000</v>
      </c>
      <c r="L373" s="1001">
        <v>2</v>
      </c>
      <c r="M373" s="1001">
        <v>7500</v>
      </c>
      <c r="N373" s="1001">
        <v>2</v>
      </c>
      <c r="O373" s="1001">
        <v>8000</v>
      </c>
      <c r="P373" s="1001">
        <v>2</v>
      </c>
      <c r="Q373" s="1001">
        <v>8500</v>
      </c>
      <c r="R373" s="1001"/>
      <c r="S373" s="1004"/>
      <c r="T373" s="1004"/>
    </row>
    <row r="374" spans="2:20" s="1003" customFormat="1" ht="48" x14ac:dyDescent="0.25">
      <c r="B374" s="1106" t="s">
        <v>3411</v>
      </c>
      <c r="C374" s="1000" t="s">
        <v>3249</v>
      </c>
      <c r="D374" s="1025" t="s">
        <v>79</v>
      </c>
      <c r="E374" s="1001">
        <f t="shared" ref="E374:O374" si="46">E375</f>
        <v>8000</v>
      </c>
      <c r="F374" s="1001">
        <f t="shared" si="46"/>
        <v>1</v>
      </c>
      <c r="G374" s="1001">
        <f t="shared" si="46"/>
        <v>7500</v>
      </c>
      <c r="H374" s="1001">
        <f t="shared" si="46"/>
        <v>2</v>
      </c>
      <c r="I374" s="1001">
        <f t="shared" si="46"/>
        <v>9000</v>
      </c>
      <c r="J374" s="1001">
        <f t="shared" si="46"/>
        <v>2</v>
      </c>
      <c r="K374" s="1001">
        <f t="shared" si="46"/>
        <v>10000</v>
      </c>
      <c r="L374" s="1001">
        <f t="shared" si="46"/>
        <v>2</v>
      </c>
      <c r="M374" s="1001">
        <f t="shared" si="46"/>
        <v>11000</v>
      </c>
      <c r="N374" s="1001">
        <f t="shared" si="46"/>
        <v>2</v>
      </c>
      <c r="O374" s="1001">
        <f t="shared" si="46"/>
        <v>13000</v>
      </c>
      <c r="P374" s="1001">
        <f>P375</f>
        <v>2</v>
      </c>
      <c r="Q374" s="1001">
        <f>Q375</f>
        <v>13000</v>
      </c>
      <c r="R374" s="1001">
        <f>E374+F374+H374+J374+L374+N374</f>
        <v>8009</v>
      </c>
      <c r="S374" s="1004"/>
      <c r="T374" s="1004"/>
    </row>
    <row r="375" spans="2:20" s="1003" customFormat="1" ht="63.75" x14ac:dyDescent="0.25">
      <c r="B375" s="998" t="s">
        <v>1712</v>
      </c>
      <c r="C375" s="1000" t="s">
        <v>3250</v>
      </c>
      <c r="D375" s="1025"/>
      <c r="E375" s="1001">
        <v>8000</v>
      </c>
      <c r="F375" s="1001">
        <v>1</v>
      </c>
      <c r="G375" s="1001">
        <v>7500</v>
      </c>
      <c r="H375" s="1001">
        <v>2</v>
      </c>
      <c r="I375" s="1001">
        <v>9000</v>
      </c>
      <c r="J375" s="1001">
        <v>2</v>
      </c>
      <c r="K375" s="1001">
        <v>10000</v>
      </c>
      <c r="L375" s="1001">
        <v>2</v>
      </c>
      <c r="M375" s="1001">
        <v>11000</v>
      </c>
      <c r="N375" s="1001">
        <v>2</v>
      </c>
      <c r="O375" s="1001">
        <v>13000</v>
      </c>
      <c r="P375" s="1001">
        <v>2</v>
      </c>
      <c r="Q375" s="1001">
        <v>13000</v>
      </c>
      <c r="R375" s="1001"/>
      <c r="S375" s="1004"/>
      <c r="T375" s="1004"/>
    </row>
    <row r="376" spans="2:20" s="1003" customFormat="1" ht="63.75" customHeight="1" x14ac:dyDescent="0.25">
      <c r="B376" s="1065" t="s">
        <v>3251</v>
      </c>
      <c r="C376" s="1000" t="s">
        <v>3252</v>
      </c>
      <c r="D376" s="1025" t="s">
        <v>79</v>
      </c>
      <c r="E376" s="1001">
        <v>5</v>
      </c>
      <c r="F376" s="1001">
        <v>1</v>
      </c>
      <c r="G376" s="2114">
        <f>SUM(G378:G379)</f>
        <v>22100</v>
      </c>
      <c r="H376" s="1001">
        <v>1</v>
      </c>
      <c r="I376" s="2114">
        <f>SUM(I378:I379)</f>
        <v>27000</v>
      </c>
      <c r="J376" s="1001">
        <v>1</v>
      </c>
      <c r="K376" s="2114">
        <f>SUM(K378:K379)</f>
        <v>31000</v>
      </c>
      <c r="L376" s="1001">
        <v>1</v>
      </c>
      <c r="M376" s="2114">
        <f>SUM(M378:M379)</f>
        <v>36000</v>
      </c>
      <c r="N376" s="1001">
        <v>1</v>
      </c>
      <c r="O376" s="2114">
        <f>SUM(O378:O379)</f>
        <v>41000</v>
      </c>
      <c r="P376" s="1001">
        <v>1</v>
      </c>
      <c r="Q376" s="2114">
        <f>SUM(Q378:Q379)</f>
        <v>45000</v>
      </c>
      <c r="R376" s="1001">
        <f>E376+F376+H376+J376+L376+N376</f>
        <v>10</v>
      </c>
      <c r="S376" s="1004"/>
      <c r="T376" s="1004"/>
    </row>
    <row r="377" spans="2:20" s="1003" customFormat="1" ht="38.25" x14ac:dyDescent="0.25">
      <c r="B377" s="1066"/>
      <c r="C377" s="1000" t="s">
        <v>3253</v>
      </c>
      <c r="D377" s="1025" t="s">
        <v>79</v>
      </c>
      <c r="E377" s="1001">
        <v>5</v>
      </c>
      <c r="F377" s="1001">
        <v>1</v>
      </c>
      <c r="G377" s="2114"/>
      <c r="H377" s="1001">
        <v>1</v>
      </c>
      <c r="I377" s="2114"/>
      <c r="J377" s="1001">
        <v>1</v>
      </c>
      <c r="K377" s="2114"/>
      <c r="L377" s="1001">
        <v>1</v>
      </c>
      <c r="M377" s="2114"/>
      <c r="N377" s="1001">
        <v>1</v>
      </c>
      <c r="O377" s="2114"/>
      <c r="P377" s="1001">
        <v>1</v>
      </c>
      <c r="Q377" s="2114"/>
      <c r="R377" s="1001">
        <f>E377+F377+H377+J377+L377+N377</f>
        <v>10</v>
      </c>
      <c r="S377" s="1004"/>
      <c r="T377" s="1004"/>
    </row>
    <row r="378" spans="2:20" s="1003" customFormat="1" ht="38.25" x14ac:dyDescent="0.25">
      <c r="B378" s="998" t="s">
        <v>3254</v>
      </c>
      <c r="C378" s="1000" t="s">
        <v>3255</v>
      </c>
      <c r="D378" s="1025" t="s">
        <v>103</v>
      </c>
      <c r="E378" s="1001">
        <v>15000</v>
      </c>
      <c r="F378" s="1001">
        <v>1</v>
      </c>
      <c r="G378" s="1001">
        <v>17100</v>
      </c>
      <c r="H378" s="1001">
        <v>1</v>
      </c>
      <c r="I378" s="1001">
        <v>19000</v>
      </c>
      <c r="J378" s="1001">
        <v>1</v>
      </c>
      <c r="K378" s="1001">
        <v>21000</v>
      </c>
      <c r="L378" s="1001">
        <v>1</v>
      </c>
      <c r="M378" s="1001">
        <v>25000</v>
      </c>
      <c r="N378" s="1001">
        <v>1</v>
      </c>
      <c r="O378" s="1001">
        <v>28000</v>
      </c>
      <c r="P378" s="1001">
        <v>1</v>
      </c>
      <c r="Q378" s="1001">
        <v>30000</v>
      </c>
      <c r="R378" s="1001"/>
      <c r="S378" s="1004"/>
      <c r="T378" s="1004"/>
    </row>
    <row r="379" spans="2:20" s="1003" customFormat="1" ht="51" x14ac:dyDescent="0.25">
      <c r="B379" s="998" t="s">
        <v>3256</v>
      </c>
      <c r="C379" s="1000" t="s">
        <v>3257</v>
      </c>
      <c r="D379" s="1025" t="s">
        <v>265</v>
      </c>
      <c r="E379" s="1001">
        <v>7000</v>
      </c>
      <c r="F379" s="1001">
        <v>19</v>
      </c>
      <c r="G379" s="1001">
        <v>5000</v>
      </c>
      <c r="H379" s="1001">
        <v>19</v>
      </c>
      <c r="I379" s="1001">
        <v>8000</v>
      </c>
      <c r="J379" s="1001">
        <v>19</v>
      </c>
      <c r="K379" s="1001">
        <v>10000</v>
      </c>
      <c r="L379" s="1001">
        <v>19</v>
      </c>
      <c r="M379" s="1001">
        <v>11000</v>
      </c>
      <c r="N379" s="1001">
        <v>19</v>
      </c>
      <c r="O379" s="1001">
        <v>13000</v>
      </c>
      <c r="P379" s="1001">
        <v>19</v>
      </c>
      <c r="Q379" s="1001">
        <v>15000</v>
      </c>
      <c r="R379" s="1001"/>
      <c r="S379" s="1004"/>
      <c r="T379" s="1004"/>
    </row>
    <row r="380" spans="2:20" s="1003" customFormat="1" ht="51" x14ac:dyDescent="0.25">
      <c r="B380" s="1106" t="s">
        <v>3420</v>
      </c>
      <c r="C380" s="1000" t="s">
        <v>3386</v>
      </c>
      <c r="D380" s="1025" t="s">
        <v>19</v>
      </c>
      <c r="E380" s="1001">
        <v>100</v>
      </c>
      <c r="F380" s="1001">
        <v>100</v>
      </c>
      <c r="G380" s="1001">
        <f>G381</f>
        <v>53165</v>
      </c>
      <c r="H380" s="1001">
        <v>100</v>
      </c>
      <c r="I380" s="1001">
        <f>I381</f>
        <v>60000</v>
      </c>
      <c r="J380" s="1001">
        <v>100</v>
      </c>
      <c r="K380" s="1001">
        <f>K381</f>
        <v>70000</v>
      </c>
      <c r="L380" s="1001">
        <v>100</v>
      </c>
      <c r="M380" s="1001">
        <f>M381</f>
        <v>75000</v>
      </c>
      <c r="N380" s="1001">
        <v>100</v>
      </c>
      <c r="O380" s="1001">
        <f>O381</f>
        <v>80000</v>
      </c>
      <c r="P380" s="1001">
        <v>100</v>
      </c>
      <c r="Q380" s="1001">
        <f>Q381</f>
        <v>85000</v>
      </c>
      <c r="R380" s="1001">
        <v>100</v>
      </c>
      <c r="S380" s="1004"/>
      <c r="T380" s="1004"/>
    </row>
    <row r="381" spans="2:20" s="1003" customFormat="1" ht="25.5" x14ac:dyDescent="0.25">
      <c r="B381" s="998" t="s">
        <v>3421</v>
      </c>
      <c r="C381" s="1000" t="s">
        <v>3422</v>
      </c>
      <c r="D381" s="1025" t="s">
        <v>40</v>
      </c>
      <c r="E381" s="1001">
        <v>0</v>
      </c>
      <c r="F381" s="1001">
        <v>12</v>
      </c>
      <c r="G381" s="1001">
        <v>53165</v>
      </c>
      <c r="H381" s="1001">
        <v>12</v>
      </c>
      <c r="I381" s="1001">
        <v>60000</v>
      </c>
      <c r="J381" s="1001">
        <v>12</v>
      </c>
      <c r="K381" s="1001">
        <v>70000</v>
      </c>
      <c r="L381" s="1001">
        <v>12</v>
      </c>
      <c r="M381" s="1001">
        <v>75000</v>
      </c>
      <c r="N381" s="1001">
        <v>12</v>
      </c>
      <c r="O381" s="1001">
        <v>80000</v>
      </c>
      <c r="P381" s="1001">
        <v>12</v>
      </c>
      <c r="Q381" s="1001">
        <v>85000</v>
      </c>
      <c r="R381" s="1001"/>
      <c r="S381" s="1004"/>
      <c r="T381" s="1004"/>
    </row>
    <row r="382" spans="2:20" s="1003" customFormat="1" ht="84" x14ac:dyDescent="0.25">
      <c r="B382" s="1106" t="s">
        <v>1743</v>
      </c>
      <c r="C382" s="1000" t="s">
        <v>3265</v>
      </c>
      <c r="D382" s="1025" t="s">
        <v>19</v>
      </c>
      <c r="E382" s="1001">
        <v>50</v>
      </c>
      <c r="F382" s="1001">
        <v>60</v>
      </c>
      <c r="G382" s="1001">
        <f>SUM(G383:G384)</f>
        <v>33200</v>
      </c>
      <c r="H382" s="1001">
        <v>70</v>
      </c>
      <c r="I382" s="1001">
        <f>SUM(I383:I384)</f>
        <v>36000</v>
      </c>
      <c r="J382" s="1001">
        <v>80</v>
      </c>
      <c r="K382" s="1001">
        <f>SUM(K383:K384)</f>
        <v>40000</v>
      </c>
      <c r="L382" s="1001">
        <v>90</v>
      </c>
      <c r="M382" s="1001">
        <f>SUM(M383:M384)</f>
        <v>45000</v>
      </c>
      <c r="N382" s="1001">
        <v>100</v>
      </c>
      <c r="O382" s="1001">
        <f>SUM(O383:O384)</f>
        <v>50000</v>
      </c>
      <c r="P382" s="1001">
        <v>100</v>
      </c>
      <c r="Q382" s="1001">
        <f>SUM(Q383:Q384)</f>
        <v>54000</v>
      </c>
      <c r="R382" s="1001">
        <v>100</v>
      </c>
      <c r="S382" s="1004"/>
      <c r="T382" s="1004"/>
    </row>
    <row r="383" spans="2:20" s="1003" customFormat="1" ht="25.5" x14ac:dyDescent="0.25">
      <c r="B383" s="998" t="s">
        <v>3266</v>
      </c>
      <c r="C383" s="1000" t="s">
        <v>3267</v>
      </c>
      <c r="D383" s="1025" t="s">
        <v>265</v>
      </c>
      <c r="E383" s="1001">
        <v>21000</v>
      </c>
      <c r="F383" s="1001">
        <v>19</v>
      </c>
      <c r="G383" s="1001">
        <v>24700</v>
      </c>
      <c r="H383" s="1001">
        <v>19</v>
      </c>
      <c r="I383" s="1001">
        <v>26000</v>
      </c>
      <c r="J383" s="1001">
        <v>19</v>
      </c>
      <c r="K383" s="1001">
        <v>28000</v>
      </c>
      <c r="L383" s="1001">
        <v>19</v>
      </c>
      <c r="M383" s="1001">
        <v>30000</v>
      </c>
      <c r="N383" s="1001">
        <v>19</v>
      </c>
      <c r="O383" s="1001">
        <v>32000</v>
      </c>
      <c r="P383" s="1001">
        <v>19</v>
      </c>
      <c r="Q383" s="1001">
        <v>34000</v>
      </c>
      <c r="R383" s="1001"/>
      <c r="S383" s="1004"/>
      <c r="T383" s="1004"/>
    </row>
    <row r="384" spans="2:20" s="1003" customFormat="1" ht="76.5" x14ac:dyDescent="0.25">
      <c r="B384" s="998" t="s">
        <v>3390</v>
      </c>
      <c r="C384" s="1000" t="s">
        <v>3273</v>
      </c>
      <c r="D384" s="1025" t="s">
        <v>265</v>
      </c>
      <c r="E384" s="1001">
        <v>0</v>
      </c>
      <c r="F384" s="1001">
        <v>19</v>
      </c>
      <c r="G384" s="1001">
        <v>8500</v>
      </c>
      <c r="H384" s="1001">
        <v>19</v>
      </c>
      <c r="I384" s="1001">
        <v>10000</v>
      </c>
      <c r="J384" s="1001">
        <v>19</v>
      </c>
      <c r="K384" s="1001">
        <v>12000</v>
      </c>
      <c r="L384" s="1001">
        <v>19</v>
      </c>
      <c r="M384" s="1001">
        <v>15000</v>
      </c>
      <c r="N384" s="1001">
        <v>19</v>
      </c>
      <c r="O384" s="1001">
        <v>18000</v>
      </c>
      <c r="P384" s="1001">
        <v>19</v>
      </c>
      <c r="Q384" s="1001">
        <v>20000</v>
      </c>
      <c r="R384" s="1001"/>
      <c r="S384" s="1004"/>
      <c r="T384" s="1004"/>
    </row>
    <row r="385" spans="2:20" s="1003" customFormat="1" ht="76.5" customHeight="1" x14ac:dyDescent="0.25">
      <c r="B385" s="1063" t="s">
        <v>3425</v>
      </c>
      <c r="C385" s="1000" t="s">
        <v>3274</v>
      </c>
      <c r="D385" s="1025" t="s">
        <v>79</v>
      </c>
      <c r="E385" s="1001">
        <v>1</v>
      </c>
      <c r="F385" s="1001">
        <v>1</v>
      </c>
      <c r="G385" s="1001">
        <f>G386</f>
        <v>5700</v>
      </c>
      <c r="H385" s="1001">
        <v>1</v>
      </c>
      <c r="I385" s="1001">
        <f>I386</f>
        <v>7000</v>
      </c>
      <c r="J385" s="1001">
        <v>1</v>
      </c>
      <c r="K385" s="1001">
        <f>K386</f>
        <v>8000</v>
      </c>
      <c r="L385" s="1001">
        <v>1</v>
      </c>
      <c r="M385" s="1001">
        <f>M386</f>
        <v>9000</v>
      </c>
      <c r="N385" s="1001">
        <v>1</v>
      </c>
      <c r="O385" s="1001">
        <f>O386</f>
        <v>10000</v>
      </c>
      <c r="P385" s="1001">
        <v>1</v>
      </c>
      <c r="Q385" s="1001">
        <f>Q386</f>
        <v>10000</v>
      </c>
      <c r="R385" s="1001">
        <f>E385+F385+H385+J385+L385+N385</f>
        <v>6</v>
      </c>
      <c r="S385" s="1004"/>
      <c r="T385" s="1004"/>
    </row>
    <row r="386" spans="2:20" s="1003" customFormat="1" ht="25.5" x14ac:dyDescent="0.25">
      <c r="B386" s="1008" t="s">
        <v>3277</v>
      </c>
      <c r="C386" s="1000" t="s">
        <v>3278</v>
      </c>
      <c r="D386" s="1025" t="s">
        <v>265</v>
      </c>
      <c r="E386" s="1001">
        <v>3000</v>
      </c>
      <c r="F386" s="1001">
        <v>19</v>
      </c>
      <c r="G386" s="1001">
        <v>5700</v>
      </c>
      <c r="H386" s="1001">
        <v>19</v>
      </c>
      <c r="I386" s="1001">
        <v>7000</v>
      </c>
      <c r="J386" s="1001">
        <v>19</v>
      </c>
      <c r="K386" s="1001">
        <v>8000</v>
      </c>
      <c r="L386" s="1001">
        <v>19</v>
      </c>
      <c r="M386" s="1001">
        <v>9000</v>
      </c>
      <c r="N386" s="1001">
        <v>19</v>
      </c>
      <c r="O386" s="1001">
        <v>10000</v>
      </c>
      <c r="P386" s="1001">
        <v>19</v>
      </c>
      <c r="Q386" s="1001">
        <v>10000</v>
      </c>
      <c r="R386" s="1001"/>
      <c r="S386" s="1004"/>
      <c r="T386" s="1004"/>
    </row>
    <row r="387" spans="2:20" s="1003" customFormat="1" ht="63.75" customHeight="1" x14ac:dyDescent="0.25">
      <c r="B387" s="1063" t="s">
        <v>3280</v>
      </c>
      <c r="C387" s="1000" t="s">
        <v>3279</v>
      </c>
      <c r="D387" s="1025" t="s">
        <v>327</v>
      </c>
      <c r="E387" s="1001">
        <v>16</v>
      </c>
      <c r="F387" s="1001">
        <v>20</v>
      </c>
      <c r="G387" s="1001">
        <f>SUM(G388:G389)</f>
        <v>7000</v>
      </c>
      <c r="H387" s="1001">
        <v>24</v>
      </c>
      <c r="I387" s="1001">
        <f>SUM(I388:I389)</f>
        <v>11000</v>
      </c>
      <c r="J387" s="1001">
        <v>28</v>
      </c>
      <c r="K387" s="1001">
        <f>SUM(K388:K389)</f>
        <v>14000</v>
      </c>
      <c r="L387" s="1001">
        <v>32</v>
      </c>
      <c r="M387" s="1001">
        <f>SUM(M388:M389)</f>
        <v>16000</v>
      </c>
      <c r="N387" s="1001">
        <v>36</v>
      </c>
      <c r="O387" s="1001">
        <f>SUM(O388:O389)</f>
        <v>17500</v>
      </c>
      <c r="P387" s="1001">
        <v>40</v>
      </c>
      <c r="Q387" s="1001">
        <f>SUM(Q388:Q389)</f>
        <v>19000</v>
      </c>
      <c r="R387" s="1001">
        <f>N387</f>
        <v>36</v>
      </c>
      <c r="S387" s="1004"/>
      <c r="T387" s="1004"/>
    </row>
    <row r="388" spans="2:20" s="1003" customFormat="1" ht="38.25" x14ac:dyDescent="0.25">
      <c r="B388" s="1008" t="s">
        <v>1298</v>
      </c>
      <c r="C388" s="1000" t="s">
        <v>3281</v>
      </c>
      <c r="D388" s="1025" t="s">
        <v>265</v>
      </c>
      <c r="E388" s="1001">
        <v>2000</v>
      </c>
      <c r="F388" s="1001">
        <v>19</v>
      </c>
      <c r="G388" s="1001">
        <v>3000</v>
      </c>
      <c r="H388" s="1001">
        <v>19</v>
      </c>
      <c r="I388" s="1001">
        <v>5000</v>
      </c>
      <c r="J388" s="1001">
        <v>19</v>
      </c>
      <c r="K388" s="1001">
        <v>6000</v>
      </c>
      <c r="L388" s="1001">
        <v>19</v>
      </c>
      <c r="M388" s="1001">
        <v>7000</v>
      </c>
      <c r="N388" s="1001">
        <v>19</v>
      </c>
      <c r="O388" s="1001">
        <v>7500</v>
      </c>
      <c r="P388" s="1001">
        <v>19</v>
      </c>
      <c r="Q388" s="1001">
        <v>8000</v>
      </c>
      <c r="R388" s="1001"/>
      <c r="S388" s="1004"/>
      <c r="T388" s="1004"/>
    </row>
    <row r="389" spans="2:20" s="1003" customFormat="1" ht="38.25" x14ac:dyDescent="0.25">
      <c r="B389" s="1008" t="s">
        <v>3282</v>
      </c>
      <c r="C389" s="1000" t="s">
        <v>3283</v>
      </c>
      <c r="D389" s="1025" t="s">
        <v>265</v>
      </c>
      <c r="E389" s="1001">
        <v>0</v>
      </c>
      <c r="F389" s="1001">
        <v>19</v>
      </c>
      <c r="G389" s="1001">
        <v>4000</v>
      </c>
      <c r="H389" s="1001">
        <v>19</v>
      </c>
      <c r="I389" s="1001">
        <v>6000</v>
      </c>
      <c r="J389" s="1001">
        <v>19</v>
      </c>
      <c r="K389" s="1001">
        <v>8000</v>
      </c>
      <c r="L389" s="1001">
        <v>19</v>
      </c>
      <c r="M389" s="1001">
        <v>9000</v>
      </c>
      <c r="N389" s="1001">
        <v>19</v>
      </c>
      <c r="O389" s="1001">
        <v>10000</v>
      </c>
      <c r="P389" s="1001">
        <v>19</v>
      </c>
      <c r="Q389" s="1001">
        <v>11000</v>
      </c>
      <c r="R389" s="1001"/>
      <c r="S389" s="1004"/>
      <c r="T389" s="1004"/>
    </row>
    <row r="390" spans="2:20" s="1003" customFormat="1" ht="63.75" x14ac:dyDescent="0.25">
      <c r="B390" s="998" t="s">
        <v>3284</v>
      </c>
      <c r="C390" s="1009" t="s">
        <v>3285</v>
      </c>
      <c r="D390" s="1025" t="s">
        <v>364</v>
      </c>
      <c r="E390" s="1001">
        <v>100</v>
      </c>
      <c r="F390" s="1001">
        <v>0</v>
      </c>
      <c r="G390" s="1001">
        <f>G391</f>
        <v>0</v>
      </c>
      <c r="H390" s="1001">
        <v>80</v>
      </c>
      <c r="I390" s="1001">
        <f>I391</f>
        <v>4000</v>
      </c>
      <c r="J390" s="1001">
        <v>70</v>
      </c>
      <c r="K390" s="1000"/>
      <c r="L390" s="1001">
        <v>60</v>
      </c>
      <c r="M390" s="1001">
        <f>M391</f>
        <v>7000</v>
      </c>
      <c r="N390" s="1001">
        <v>50</v>
      </c>
      <c r="O390" s="1001">
        <f>O391</f>
        <v>7500</v>
      </c>
      <c r="P390" s="1001">
        <v>50</v>
      </c>
      <c r="Q390" s="1001">
        <f>Q391</f>
        <v>8000</v>
      </c>
      <c r="R390" s="1001">
        <f>N390</f>
        <v>50</v>
      </c>
      <c r="S390" s="1004"/>
      <c r="T390" s="1004"/>
    </row>
    <row r="391" spans="2:20" s="1003" customFormat="1" ht="63.75" x14ac:dyDescent="0.25">
      <c r="B391" s="998" t="s">
        <v>3286</v>
      </c>
      <c r="C391" s="1009" t="s">
        <v>3287</v>
      </c>
      <c r="D391" s="1025" t="s">
        <v>265</v>
      </c>
      <c r="E391" s="1001">
        <v>2000</v>
      </c>
      <c r="F391" s="1001">
        <v>0</v>
      </c>
      <c r="G391" s="1001">
        <v>0</v>
      </c>
      <c r="H391" s="1001">
        <v>19</v>
      </c>
      <c r="I391" s="1001">
        <v>4000</v>
      </c>
      <c r="J391" s="1001">
        <v>19</v>
      </c>
      <c r="K391" s="1001">
        <v>6000</v>
      </c>
      <c r="L391" s="1001">
        <v>19</v>
      </c>
      <c r="M391" s="1001">
        <v>7000</v>
      </c>
      <c r="N391" s="1001">
        <v>19</v>
      </c>
      <c r="O391" s="1001">
        <v>7500</v>
      </c>
      <c r="P391" s="1001">
        <v>20</v>
      </c>
      <c r="Q391" s="1001">
        <v>8000</v>
      </c>
      <c r="R391" s="1001"/>
      <c r="S391" s="1004"/>
      <c r="T391" s="1004"/>
    </row>
    <row r="392" spans="2:20" s="1003" customFormat="1" ht="51" x14ac:dyDescent="0.25">
      <c r="B392" s="998" t="s">
        <v>3289</v>
      </c>
      <c r="C392" s="1009" t="s">
        <v>3288</v>
      </c>
      <c r="D392" s="1025" t="s">
        <v>100</v>
      </c>
      <c r="E392" s="1001">
        <v>30</v>
      </c>
      <c r="F392" s="1001">
        <f>F393</f>
        <v>1</v>
      </c>
      <c r="G392" s="1001">
        <f t="shared" ref="G392:Q392" si="47">G393</f>
        <v>9000</v>
      </c>
      <c r="H392" s="1001">
        <f t="shared" si="47"/>
        <v>1</v>
      </c>
      <c r="I392" s="1001">
        <f t="shared" si="47"/>
        <v>11000</v>
      </c>
      <c r="J392" s="1001">
        <f t="shared" si="47"/>
        <v>1</v>
      </c>
      <c r="K392" s="1001">
        <f t="shared" si="47"/>
        <v>13000</v>
      </c>
      <c r="L392" s="1001">
        <f t="shared" si="47"/>
        <v>1</v>
      </c>
      <c r="M392" s="1001">
        <f t="shared" si="47"/>
        <v>14000</v>
      </c>
      <c r="N392" s="1001">
        <f t="shared" si="47"/>
        <v>1</v>
      </c>
      <c r="O392" s="1001">
        <f t="shared" si="47"/>
        <v>15000</v>
      </c>
      <c r="P392" s="1001">
        <f t="shared" si="47"/>
        <v>1</v>
      </c>
      <c r="Q392" s="1001">
        <f t="shared" si="47"/>
        <v>17000</v>
      </c>
      <c r="R392" s="1001">
        <f>F392+H392+J392+L392+N392</f>
        <v>5</v>
      </c>
      <c r="S392" s="1004"/>
      <c r="T392" s="1004"/>
    </row>
    <row r="393" spans="2:20" s="1003" customFormat="1" ht="76.5" x14ac:dyDescent="0.25">
      <c r="B393" s="998" t="s">
        <v>894</v>
      </c>
      <c r="C393" s="1009" t="s">
        <v>3290</v>
      </c>
      <c r="D393" s="1025" t="s">
        <v>100</v>
      </c>
      <c r="E393" s="1001">
        <v>0</v>
      </c>
      <c r="F393" s="1001">
        <v>1</v>
      </c>
      <c r="G393" s="1001">
        <v>9000</v>
      </c>
      <c r="H393" s="1001">
        <v>1</v>
      </c>
      <c r="I393" s="1001">
        <v>11000</v>
      </c>
      <c r="J393" s="1001">
        <v>1</v>
      </c>
      <c r="K393" s="1001">
        <v>13000</v>
      </c>
      <c r="L393" s="1001">
        <v>1</v>
      </c>
      <c r="M393" s="1001">
        <v>14000</v>
      </c>
      <c r="N393" s="1001">
        <v>1</v>
      </c>
      <c r="O393" s="1001">
        <v>15000</v>
      </c>
      <c r="P393" s="1001">
        <v>1</v>
      </c>
      <c r="Q393" s="1001">
        <v>17000</v>
      </c>
      <c r="R393" s="1001"/>
      <c r="S393" s="1004"/>
      <c r="T393" s="1004"/>
    </row>
    <row r="394" spans="2:20" s="1003" customFormat="1" ht="60" x14ac:dyDescent="0.25">
      <c r="B394" s="1063" t="s">
        <v>3292</v>
      </c>
      <c r="C394" s="1000" t="s">
        <v>3291</v>
      </c>
      <c r="D394" s="1025" t="s">
        <v>19</v>
      </c>
      <c r="E394" s="1001">
        <f>E395</f>
        <v>0</v>
      </c>
      <c r="F394" s="1001">
        <f>F395</f>
        <v>2</v>
      </c>
      <c r="G394" s="1001">
        <f>G395</f>
        <v>2000</v>
      </c>
      <c r="H394" s="1001">
        <f t="shared" ref="H394:Q394" si="48">H395</f>
        <v>0</v>
      </c>
      <c r="I394" s="1001">
        <f t="shared" si="48"/>
        <v>0</v>
      </c>
      <c r="J394" s="1001">
        <f t="shared" si="48"/>
        <v>0</v>
      </c>
      <c r="K394" s="1001">
        <f t="shared" si="48"/>
        <v>0</v>
      </c>
      <c r="L394" s="1001">
        <f t="shared" si="48"/>
        <v>17</v>
      </c>
      <c r="M394" s="1001">
        <f>M395</f>
        <v>17000</v>
      </c>
      <c r="N394" s="1001">
        <f t="shared" si="48"/>
        <v>0</v>
      </c>
      <c r="O394" s="1001">
        <f t="shared" si="48"/>
        <v>0</v>
      </c>
      <c r="P394" s="1001">
        <f t="shared" si="48"/>
        <v>0</v>
      </c>
      <c r="Q394" s="1001">
        <f t="shared" si="48"/>
        <v>0</v>
      </c>
      <c r="R394" s="1001">
        <f>F394+H394+J394+L394+N394</f>
        <v>19</v>
      </c>
      <c r="S394" s="1004"/>
      <c r="T394" s="1004"/>
    </row>
    <row r="395" spans="2:20" s="1003" customFormat="1" ht="38.25" x14ac:dyDescent="0.25">
      <c r="B395" s="1008" t="s">
        <v>3293</v>
      </c>
      <c r="C395" s="1000" t="s">
        <v>3294</v>
      </c>
      <c r="D395" s="1025" t="s">
        <v>97</v>
      </c>
      <c r="E395" s="1001">
        <v>0</v>
      </c>
      <c r="F395" s="1001">
        <v>2</v>
      </c>
      <c r="G395" s="1001">
        <v>2000</v>
      </c>
      <c r="H395" s="1001">
        <v>0</v>
      </c>
      <c r="I395" s="1001">
        <v>0</v>
      </c>
      <c r="J395" s="1001">
        <v>0</v>
      </c>
      <c r="K395" s="1001">
        <v>0</v>
      </c>
      <c r="L395" s="1001">
        <v>17</v>
      </c>
      <c r="M395" s="1001">
        <v>17000</v>
      </c>
      <c r="N395" s="1001">
        <v>0</v>
      </c>
      <c r="O395" s="1001">
        <v>0</v>
      </c>
      <c r="P395" s="1001">
        <v>0</v>
      </c>
      <c r="Q395" s="1001">
        <v>0</v>
      </c>
      <c r="R395" s="1001"/>
      <c r="S395" s="1004"/>
      <c r="T395" s="1004"/>
    </row>
    <row r="396" spans="2:20" s="1003" customFormat="1" ht="60" x14ac:dyDescent="0.25">
      <c r="B396" s="1063" t="s">
        <v>3296</v>
      </c>
      <c r="C396" s="1000" t="s">
        <v>3295</v>
      </c>
      <c r="D396" s="1025" t="s">
        <v>265</v>
      </c>
      <c r="E396" s="1001">
        <v>11</v>
      </c>
      <c r="F396" s="1001">
        <f>F397</f>
        <v>19</v>
      </c>
      <c r="G396" s="1001">
        <f t="shared" ref="G396:Q396" si="49">G397</f>
        <v>3800</v>
      </c>
      <c r="H396" s="1001">
        <f t="shared" si="49"/>
        <v>19</v>
      </c>
      <c r="I396" s="1001">
        <f t="shared" si="49"/>
        <v>4000</v>
      </c>
      <c r="J396" s="1001">
        <f t="shared" si="49"/>
        <v>19</v>
      </c>
      <c r="K396" s="1001">
        <f t="shared" si="49"/>
        <v>5000</v>
      </c>
      <c r="L396" s="1001">
        <f t="shared" si="49"/>
        <v>19</v>
      </c>
      <c r="M396" s="1001">
        <f t="shared" si="49"/>
        <v>5000</v>
      </c>
      <c r="N396" s="1001">
        <f t="shared" si="49"/>
        <v>19</v>
      </c>
      <c r="O396" s="1001">
        <f t="shared" si="49"/>
        <v>6000</v>
      </c>
      <c r="P396" s="1001">
        <f t="shared" si="49"/>
        <v>19</v>
      </c>
      <c r="Q396" s="1001">
        <f t="shared" si="49"/>
        <v>6000</v>
      </c>
      <c r="R396" s="1001">
        <f>N396</f>
        <v>19</v>
      </c>
      <c r="S396" s="1004"/>
      <c r="T396" s="1004"/>
    </row>
    <row r="397" spans="2:20" s="1003" customFormat="1" x14ac:dyDescent="0.25">
      <c r="B397" s="1008" t="s">
        <v>383</v>
      </c>
      <c r="C397" s="1000" t="s">
        <v>3297</v>
      </c>
      <c r="D397" s="1025" t="s">
        <v>265</v>
      </c>
      <c r="E397" s="1001">
        <v>3000</v>
      </c>
      <c r="F397" s="1001">
        <v>19</v>
      </c>
      <c r="G397" s="1001">
        <v>3800</v>
      </c>
      <c r="H397" s="1001">
        <v>19</v>
      </c>
      <c r="I397" s="1001">
        <v>4000</v>
      </c>
      <c r="J397" s="1001">
        <v>19</v>
      </c>
      <c r="K397" s="1001">
        <v>5000</v>
      </c>
      <c r="L397" s="1001">
        <v>19</v>
      </c>
      <c r="M397" s="1001">
        <v>5000</v>
      </c>
      <c r="N397" s="1001">
        <v>19</v>
      </c>
      <c r="O397" s="1001">
        <v>6000</v>
      </c>
      <c r="P397" s="1001">
        <v>19</v>
      </c>
      <c r="Q397" s="1001">
        <v>6000</v>
      </c>
      <c r="R397" s="1001"/>
      <c r="S397" s="1004"/>
      <c r="T397" s="1004"/>
    </row>
    <row r="398" spans="2:20" s="1003" customFormat="1" x14ac:dyDescent="0.25">
      <c r="B398" s="1027" t="s">
        <v>2651</v>
      </c>
      <c r="C398" s="1000"/>
      <c r="D398" s="1000"/>
      <c r="E398" s="1000"/>
      <c r="F398" s="1000"/>
      <c r="G398" s="1012">
        <f>G396+G394+G392+G390+G387+G385+G382+G380+G376+G374+G372+G364+G350</f>
        <v>271087</v>
      </c>
      <c r="H398" s="1000"/>
      <c r="I398" s="1012">
        <f>I396+I394+I392+I390+I387+I385+I382+I380+I376+I374+I372+I364+I350</f>
        <v>1351000</v>
      </c>
      <c r="J398" s="1000"/>
      <c r="K398" s="1012">
        <f>K396+K394+K392+F390+K387+K385+K382+K380+K376+K374+K372+K364+K350</f>
        <v>384400</v>
      </c>
      <c r="L398" s="1000"/>
      <c r="M398" s="1012">
        <f>M396+M394+M392+M390+M387+M385+M382+M380+M376+M374+M372+M364+M350</f>
        <v>451300</v>
      </c>
      <c r="N398" s="1000"/>
      <c r="O398" s="1012">
        <f>O396+O394+O392+O390+O387+O385+O382+O380+O376+O374+O372+O364+O350</f>
        <v>488700</v>
      </c>
      <c r="P398" s="1000"/>
      <c r="Q398" s="1012">
        <f>Q396+Q394+Q392+Q390+Q387+Q385+Q382+Q380+Q376+Q374+Q372+Q364+Q350</f>
        <v>534900</v>
      </c>
      <c r="R398" s="1000"/>
      <c r="S398" s="1013"/>
      <c r="T398" s="1013"/>
    </row>
    <row r="399" spans="2:20" s="1003" customFormat="1" x14ac:dyDescent="0.25">
      <c r="B399" s="1005"/>
      <c r="C399" s="1100"/>
      <c r="D399" s="1000"/>
      <c r="E399" s="1001"/>
      <c r="F399" s="1001"/>
      <c r="G399" s="1001"/>
      <c r="H399" s="1001"/>
      <c r="I399" s="1001"/>
      <c r="J399" s="1001"/>
      <c r="K399" s="1001"/>
      <c r="L399" s="1001"/>
      <c r="M399" s="1001"/>
      <c r="N399" s="1001"/>
      <c r="O399" s="1001"/>
      <c r="P399" s="1001"/>
      <c r="Q399" s="1001"/>
      <c r="R399" s="1001"/>
      <c r="S399" s="1004"/>
      <c r="T399" s="1004"/>
    </row>
    <row r="400" spans="2:20" s="1003" customFormat="1" x14ac:dyDescent="0.25">
      <c r="B400" s="1167" t="s">
        <v>3465</v>
      </c>
      <c r="C400" s="1100"/>
      <c r="D400" s="1000"/>
      <c r="E400" s="1001"/>
      <c r="F400" s="1001"/>
      <c r="G400" s="1001"/>
      <c r="H400" s="1001"/>
      <c r="I400" s="1001"/>
      <c r="J400" s="1001"/>
      <c r="K400" s="1001"/>
      <c r="L400" s="1001"/>
      <c r="M400" s="1001"/>
      <c r="N400" s="1001"/>
      <c r="O400" s="1001"/>
      <c r="P400" s="1001"/>
      <c r="Q400" s="1001"/>
      <c r="R400" s="1001"/>
      <c r="S400" s="1004"/>
      <c r="T400" s="1004"/>
    </row>
    <row r="401" spans="2:20" s="1003" customFormat="1" ht="51" customHeight="1" x14ac:dyDescent="0.25">
      <c r="B401" s="998"/>
      <c r="C401" s="999" t="s">
        <v>3228</v>
      </c>
      <c r="D401" s="1025" t="s">
        <v>19</v>
      </c>
      <c r="E401" s="1001">
        <v>90</v>
      </c>
      <c r="F401" s="1001">
        <v>93</v>
      </c>
      <c r="G401" s="1001"/>
      <c r="H401" s="1001">
        <v>94</v>
      </c>
      <c r="I401" s="1001"/>
      <c r="J401" s="1001">
        <v>95</v>
      </c>
      <c r="K401" s="1001"/>
      <c r="L401" s="1001">
        <v>96</v>
      </c>
      <c r="M401" s="1001"/>
      <c r="N401" s="1001">
        <v>97</v>
      </c>
      <c r="O401" s="1001"/>
      <c r="P401" s="1001">
        <v>98</v>
      </c>
      <c r="Q401" s="1001"/>
      <c r="R401" s="1001"/>
      <c r="S401" s="1002"/>
      <c r="T401" s="1002"/>
    </row>
    <row r="402" spans="2:20" s="1003" customFormat="1" ht="63.75" x14ac:dyDescent="0.25">
      <c r="B402" s="1106" t="s">
        <v>3229</v>
      </c>
      <c r="C402" s="1000" t="s">
        <v>1488</v>
      </c>
      <c r="D402" s="1025" t="s">
        <v>19</v>
      </c>
      <c r="E402" s="1001">
        <v>100</v>
      </c>
      <c r="F402" s="1001">
        <v>20</v>
      </c>
      <c r="G402" s="1001">
        <v>96531</v>
      </c>
      <c r="H402" s="1001">
        <v>20</v>
      </c>
      <c r="I402" s="1001">
        <v>105883</v>
      </c>
      <c r="J402" s="1001">
        <v>20</v>
      </c>
      <c r="K402" s="1001">
        <f>SUM(K403:K415)</f>
        <v>129700</v>
      </c>
      <c r="L402" s="1001">
        <v>20</v>
      </c>
      <c r="M402" s="1001">
        <f>SUM(M403:M415)</f>
        <v>146000</v>
      </c>
      <c r="N402" s="1001">
        <v>20</v>
      </c>
      <c r="O402" s="1001">
        <f>SUM(O403:O415)</f>
        <v>160500</v>
      </c>
      <c r="P402" s="1001">
        <v>20</v>
      </c>
      <c r="Q402" s="1001">
        <f>SUM(Q403:Q415)</f>
        <v>175000</v>
      </c>
      <c r="R402" s="1001"/>
      <c r="S402" s="1004"/>
      <c r="T402" s="1004"/>
    </row>
    <row r="403" spans="2:20" s="1003" customFormat="1" ht="25.5" x14ac:dyDescent="0.25">
      <c r="B403" s="998" t="s">
        <v>124</v>
      </c>
      <c r="C403" s="1100" t="s">
        <v>3230</v>
      </c>
      <c r="D403" s="1025" t="s">
        <v>40</v>
      </c>
      <c r="E403" s="1001"/>
      <c r="F403" s="1001">
        <v>12</v>
      </c>
      <c r="G403" s="1001">
        <v>1231</v>
      </c>
      <c r="H403" s="1001">
        <v>12</v>
      </c>
      <c r="I403" s="1001">
        <v>1383</v>
      </c>
      <c r="J403" s="1001">
        <v>12</v>
      </c>
      <c r="K403" s="1001">
        <v>1500</v>
      </c>
      <c r="L403" s="1001">
        <v>12</v>
      </c>
      <c r="M403" s="1001">
        <v>2000</v>
      </c>
      <c r="N403" s="1001">
        <v>12</v>
      </c>
      <c r="O403" s="1001">
        <v>2500</v>
      </c>
      <c r="P403" s="1001">
        <v>12</v>
      </c>
      <c r="Q403" s="1001">
        <v>3000</v>
      </c>
      <c r="R403" s="1001"/>
      <c r="S403" s="1004"/>
      <c r="T403" s="1004"/>
    </row>
    <row r="404" spans="2:20" s="1003" customFormat="1" ht="51" x14ac:dyDescent="0.25">
      <c r="B404" s="1005" t="s">
        <v>126</v>
      </c>
      <c r="C404" s="1100" t="s">
        <v>2518</v>
      </c>
      <c r="D404" s="1025" t="s">
        <v>40</v>
      </c>
      <c r="E404" s="1001"/>
      <c r="F404" s="1001">
        <v>12</v>
      </c>
      <c r="G404" s="1001">
        <v>10000</v>
      </c>
      <c r="H404" s="1001">
        <v>12</v>
      </c>
      <c r="I404" s="1001">
        <v>11000</v>
      </c>
      <c r="J404" s="1001">
        <v>12</v>
      </c>
      <c r="K404" s="1001">
        <v>16000</v>
      </c>
      <c r="L404" s="1001">
        <v>12</v>
      </c>
      <c r="M404" s="1001">
        <v>17000</v>
      </c>
      <c r="N404" s="1001">
        <v>12</v>
      </c>
      <c r="O404" s="1001">
        <v>18500</v>
      </c>
      <c r="P404" s="1001">
        <v>12</v>
      </c>
      <c r="Q404" s="1001">
        <v>20000</v>
      </c>
      <c r="R404" s="1001"/>
      <c r="S404" s="1004"/>
      <c r="T404" s="1004"/>
    </row>
    <row r="405" spans="2:20" s="1003" customFormat="1" ht="76.5" x14ac:dyDescent="0.25">
      <c r="B405" s="1005" t="s">
        <v>3231</v>
      </c>
      <c r="C405" s="1100" t="s">
        <v>2519</v>
      </c>
      <c r="D405" s="1025" t="s">
        <v>40</v>
      </c>
      <c r="E405" s="1001"/>
      <c r="F405" s="1001">
        <v>12</v>
      </c>
      <c r="G405" s="1001">
        <v>21000</v>
      </c>
      <c r="H405" s="1001">
        <v>12</v>
      </c>
      <c r="I405" s="1001">
        <v>23000</v>
      </c>
      <c r="J405" s="1001">
        <v>12</v>
      </c>
      <c r="K405" s="1001">
        <v>29000</v>
      </c>
      <c r="L405" s="1001">
        <v>12</v>
      </c>
      <c r="M405" s="1001">
        <v>32500</v>
      </c>
      <c r="N405" s="1001">
        <v>12</v>
      </c>
      <c r="O405" s="1001">
        <v>36000</v>
      </c>
      <c r="P405" s="1001">
        <v>12</v>
      </c>
      <c r="Q405" s="1001">
        <v>39500</v>
      </c>
      <c r="R405" s="1001"/>
      <c r="S405" s="1004"/>
      <c r="T405" s="1004"/>
    </row>
    <row r="406" spans="2:20" s="1003" customFormat="1" ht="38.25" x14ac:dyDescent="0.25">
      <c r="B406" s="1005" t="s">
        <v>45</v>
      </c>
      <c r="C406" s="1100" t="s">
        <v>2520</v>
      </c>
      <c r="D406" s="1025" t="s">
        <v>40</v>
      </c>
      <c r="E406" s="1001"/>
      <c r="F406" s="1001">
        <v>12</v>
      </c>
      <c r="G406" s="1001">
        <v>18000</v>
      </c>
      <c r="H406" s="1001">
        <v>12</v>
      </c>
      <c r="I406" s="1001">
        <v>22000</v>
      </c>
      <c r="J406" s="1001">
        <v>12</v>
      </c>
      <c r="K406" s="1001">
        <v>27000</v>
      </c>
      <c r="L406" s="1001">
        <v>12</v>
      </c>
      <c r="M406" s="1001">
        <v>30000</v>
      </c>
      <c r="N406" s="1001">
        <v>12</v>
      </c>
      <c r="O406" s="1001">
        <v>32000</v>
      </c>
      <c r="P406" s="1001">
        <v>12</v>
      </c>
      <c r="Q406" s="1001">
        <v>33000</v>
      </c>
      <c r="R406" s="1001"/>
      <c r="S406" s="1004"/>
      <c r="T406" s="1004"/>
    </row>
    <row r="407" spans="2:20" s="1003" customFormat="1" ht="38.25" x14ac:dyDescent="0.25">
      <c r="B407" s="1005" t="s">
        <v>47</v>
      </c>
      <c r="C407" s="1100" t="s">
        <v>2521</v>
      </c>
      <c r="D407" s="1025" t="s">
        <v>40</v>
      </c>
      <c r="E407" s="1001"/>
      <c r="F407" s="1001">
        <v>12</v>
      </c>
      <c r="G407" s="1001">
        <v>3000</v>
      </c>
      <c r="H407" s="1001">
        <v>12</v>
      </c>
      <c r="I407" s="1001">
        <v>3000</v>
      </c>
      <c r="J407" s="1001">
        <v>12</v>
      </c>
      <c r="K407" s="1001">
        <v>3000</v>
      </c>
      <c r="L407" s="1001">
        <v>12</v>
      </c>
      <c r="M407" s="1001">
        <v>3000</v>
      </c>
      <c r="N407" s="1001">
        <v>12</v>
      </c>
      <c r="O407" s="1001">
        <v>3500</v>
      </c>
      <c r="P407" s="1001">
        <v>12</v>
      </c>
      <c r="Q407" s="1001">
        <v>4000</v>
      </c>
      <c r="R407" s="1001"/>
      <c r="S407" s="1004"/>
      <c r="T407" s="1004"/>
    </row>
    <row r="408" spans="2:20" s="1003" customFormat="1" ht="51" x14ac:dyDescent="0.25">
      <c r="B408" s="1005" t="s">
        <v>130</v>
      </c>
      <c r="C408" s="1100" t="s">
        <v>2522</v>
      </c>
      <c r="D408" s="1025" t="s">
        <v>40</v>
      </c>
      <c r="E408" s="1001"/>
      <c r="F408" s="1001">
        <v>12</v>
      </c>
      <c r="G408" s="1001">
        <v>5000</v>
      </c>
      <c r="H408" s="1001">
        <v>12</v>
      </c>
      <c r="I408" s="1001">
        <v>5000</v>
      </c>
      <c r="J408" s="1001">
        <v>12</v>
      </c>
      <c r="K408" s="1001">
        <v>6000</v>
      </c>
      <c r="L408" s="1001">
        <v>12</v>
      </c>
      <c r="M408" s="1001">
        <v>7000</v>
      </c>
      <c r="N408" s="1001">
        <v>12</v>
      </c>
      <c r="O408" s="1001">
        <v>8000</v>
      </c>
      <c r="P408" s="1001">
        <v>12</v>
      </c>
      <c r="Q408" s="1001">
        <v>9000</v>
      </c>
      <c r="R408" s="1001"/>
      <c r="S408" s="1004"/>
      <c r="T408" s="1004"/>
    </row>
    <row r="409" spans="2:20" s="1003" customFormat="1" ht="38.25" x14ac:dyDescent="0.25">
      <c r="B409" s="1005" t="s">
        <v>50</v>
      </c>
      <c r="C409" s="1100" t="s">
        <v>2523</v>
      </c>
      <c r="D409" s="1025" t="s">
        <v>40</v>
      </c>
      <c r="E409" s="1001"/>
      <c r="F409" s="1001">
        <v>12</v>
      </c>
      <c r="G409" s="1001">
        <v>6000</v>
      </c>
      <c r="H409" s="1001">
        <v>12</v>
      </c>
      <c r="I409" s="1001">
        <v>6000</v>
      </c>
      <c r="J409" s="1001">
        <v>12</v>
      </c>
      <c r="K409" s="1001">
        <v>7500</v>
      </c>
      <c r="L409" s="1001">
        <v>12</v>
      </c>
      <c r="M409" s="1001">
        <v>9000</v>
      </c>
      <c r="N409" s="1001">
        <v>12</v>
      </c>
      <c r="O409" s="1001">
        <v>10000</v>
      </c>
      <c r="P409" s="1001">
        <v>12</v>
      </c>
      <c r="Q409" s="1001">
        <v>12000</v>
      </c>
      <c r="R409" s="1001"/>
      <c r="S409" s="1004"/>
      <c r="T409" s="1004"/>
    </row>
    <row r="410" spans="2:20" s="1003" customFormat="1" ht="51" x14ac:dyDescent="0.25">
      <c r="B410" s="1005" t="s">
        <v>52</v>
      </c>
      <c r="C410" s="1100" t="s">
        <v>2524</v>
      </c>
      <c r="D410" s="1025" t="s">
        <v>40</v>
      </c>
      <c r="E410" s="1001"/>
      <c r="F410" s="1001">
        <v>12</v>
      </c>
      <c r="G410" s="1001">
        <v>5000</v>
      </c>
      <c r="H410" s="1001">
        <v>12</v>
      </c>
      <c r="I410" s="1001">
        <v>5500</v>
      </c>
      <c r="J410" s="1001">
        <v>12</v>
      </c>
      <c r="K410" s="1001">
        <v>6000</v>
      </c>
      <c r="L410" s="1001">
        <v>12</v>
      </c>
      <c r="M410" s="1001">
        <v>7500</v>
      </c>
      <c r="N410" s="1001">
        <v>12</v>
      </c>
      <c r="O410" s="1001">
        <v>9000</v>
      </c>
      <c r="P410" s="1001">
        <v>12</v>
      </c>
      <c r="Q410" s="1001">
        <v>10000</v>
      </c>
      <c r="R410" s="1001"/>
      <c r="S410" s="1004"/>
      <c r="T410" s="1004"/>
    </row>
    <row r="411" spans="2:20" s="1003" customFormat="1" ht="76.5" x14ac:dyDescent="0.25">
      <c r="B411" s="1005" t="s">
        <v>782</v>
      </c>
      <c r="C411" s="1100" t="s">
        <v>2525</v>
      </c>
      <c r="D411" s="1025" t="s">
        <v>40</v>
      </c>
      <c r="E411" s="1001"/>
      <c r="F411" s="1001">
        <v>12</v>
      </c>
      <c r="G411" s="1001">
        <v>3000</v>
      </c>
      <c r="H411" s="1001">
        <v>12</v>
      </c>
      <c r="I411" s="1001">
        <v>3500</v>
      </c>
      <c r="J411" s="1001">
        <v>12</v>
      </c>
      <c r="K411" s="1001">
        <v>4000</v>
      </c>
      <c r="L411" s="1001">
        <v>12</v>
      </c>
      <c r="M411" s="1001">
        <v>4500</v>
      </c>
      <c r="N411" s="1001">
        <v>12</v>
      </c>
      <c r="O411" s="1001">
        <v>5000</v>
      </c>
      <c r="P411" s="1001">
        <v>12</v>
      </c>
      <c r="Q411" s="1001">
        <v>5500</v>
      </c>
      <c r="R411" s="1001"/>
      <c r="S411" s="1004"/>
      <c r="T411" s="1004"/>
    </row>
    <row r="412" spans="2:20" s="1003" customFormat="1" ht="63.75" x14ac:dyDescent="0.25">
      <c r="B412" s="1005" t="s">
        <v>3232</v>
      </c>
      <c r="C412" s="1100" t="s">
        <v>2526</v>
      </c>
      <c r="D412" s="1025" t="s">
        <v>40</v>
      </c>
      <c r="E412" s="1001"/>
      <c r="F412" s="1001">
        <v>12</v>
      </c>
      <c r="G412" s="1001">
        <v>1300</v>
      </c>
      <c r="H412" s="1001">
        <v>12</v>
      </c>
      <c r="I412" s="1001">
        <v>1500</v>
      </c>
      <c r="J412" s="1001">
        <v>12</v>
      </c>
      <c r="K412" s="1001">
        <v>1700</v>
      </c>
      <c r="L412" s="1001">
        <v>12</v>
      </c>
      <c r="M412" s="1001">
        <v>2000</v>
      </c>
      <c r="N412" s="1001">
        <v>12</v>
      </c>
      <c r="O412" s="1001">
        <v>2500</v>
      </c>
      <c r="P412" s="1001">
        <v>12</v>
      </c>
      <c r="Q412" s="1001">
        <v>3000</v>
      </c>
      <c r="R412" s="1001"/>
      <c r="S412" s="1004"/>
      <c r="T412" s="1004"/>
    </row>
    <row r="413" spans="2:20" s="1003" customFormat="1" ht="38.25" x14ac:dyDescent="0.25">
      <c r="B413" s="1005" t="s">
        <v>58</v>
      </c>
      <c r="C413" s="1100" t="s">
        <v>2527</v>
      </c>
      <c r="D413" s="1025" t="s">
        <v>40</v>
      </c>
      <c r="E413" s="1001"/>
      <c r="F413" s="1001">
        <v>12</v>
      </c>
      <c r="G413" s="1001">
        <v>8000</v>
      </c>
      <c r="H413" s="1001">
        <v>12</v>
      </c>
      <c r="I413" s="1001">
        <v>8500</v>
      </c>
      <c r="J413" s="1001">
        <v>12</v>
      </c>
      <c r="K413" s="1001">
        <v>10000</v>
      </c>
      <c r="L413" s="1001">
        <v>12</v>
      </c>
      <c r="M413" s="1001">
        <v>11000</v>
      </c>
      <c r="N413" s="1001">
        <v>12</v>
      </c>
      <c r="O413" s="1001">
        <v>12000</v>
      </c>
      <c r="P413" s="1001">
        <v>12</v>
      </c>
      <c r="Q413" s="1001">
        <v>13000</v>
      </c>
      <c r="R413" s="1001"/>
      <c r="S413" s="1004"/>
      <c r="T413" s="1004"/>
    </row>
    <row r="414" spans="2:20" s="1003" customFormat="1" ht="51" x14ac:dyDescent="0.25">
      <c r="B414" s="1005" t="s">
        <v>3233</v>
      </c>
      <c r="C414" s="1100" t="s">
        <v>2529</v>
      </c>
      <c r="D414" s="1025" t="s">
        <v>40</v>
      </c>
      <c r="E414" s="1001"/>
      <c r="F414" s="1001">
        <v>12</v>
      </c>
      <c r="G414" s="1001">
        <v>13000</v>
      </c>
      <c r="H414" s="1001">
        <v>12</v>
      </c>
      <c r="I414" s="1001">
        <v>13000</v>
      </c>
      <c r="J414" s="1001">
        <v>12</v>
      </c>
      <c r="K414" s="1001">
        <v>15000</v>
      </c>
      <c r="L414" s="1001">
        <v>12</v>
      </c>
      <c r="M414" s="1001">
        <v>17000</v>
      </c>
      <c r="N414" s="1001">
        <v>12</v>
      </c>
      <c r="O414" s="1001">
        <v>18000</v>
      </c>
      <c r="P414" s="1001">
        <v>12</v>
      </c>
      <c r="Q414" s="1001">
        <v>19000</v>
      </c>
      <c r="R414" s="1001"/>
      <c r="S414" s="1004"/>
      <c r="T414" s="1004"/>
    </row>
    <row r="415" spans="2:20" s="1003" customFormat="1" ht="51" x14ac:dyDescent="0.25">
      <c r="B415" s="1102" t="s">
        <v>137</v>
      </c>
      <c r="C415" s="1100" t="s">
        <v>2528</v>
      </c>
      <c r="D415" s="1025" t="s">
        <v>40</v>
      </c>
      <c r="E415" s="1001"/>
      <c r="F415" s="1001">
        <v>12</v>
      </c>
      <c r="G415" s="1001">
        <v>2000</v>
      </c>
      <c r="H415" s="1001">
        <v>12</v>
      </c>
      <c r="I415" s="1001">
        <v>2500</v>
      </c>
      <c r="J415" s="1001">
        <v>12</v>
      </c>
      <c r="K415" s="1001">
        <v>3000</v>
      </c>
      <c r="L415" s="1001">
        <v>12</v>
      </c>
      <c r="M415" s="1001">
        <v>3500</v>
      </c>
      <c r="N415" s="1001">
        <v>12</v>
      </c>
      <c r="O415" s="1001">
        <v>3500</v>
      </c>
      <c r="P415" s="1001">
        <v>12</v>
      </c>
      <c r="Q415" s="1001">
        <v>4000</v>
      </c>
      <c r="R415" s="1001"/>
      <c r="S415" s="1004"/>
      <c r="T415" s="1004"/>
    </row>
    <row r="416" spans="2:20" s="1003" customFormat="1" ht="38.25" customHeight="1" x14ac:dyDescent="0.25">
      <c r="B416" s="1061" t="s">
        <v>65</v>
      </c>
      <c r="C416" s="999" t="s">
        <v>3234</v>
      </c>
      <c r="D416" s="1015" t="s">
        <v>19</v>
      </c>
      <c r="E416" s="1001">
        <v>70</v>
      </c>
      <c r="F416" s="1001">
        <v>3</v>
      </c>
      <c r="G416" s="2114">
        <f>SUM(G418:G423)</f>
        <v>35000</v>
      </c>
      <c r="H416" s="1001">
        <v>2</v>
      </c>
      <c r="I416" s="2114">
        <v>20000</v>
      </c>
      <c r="J416" s="1001">
        <v>3</v>
      </c>
      <c r="K416" s="2114">
        <f>SUM(K418:K423)</f>
        <v>64500</v>
      </c>
      <c r="L416" s="1001">
        <v>2</v>
      </c>
      <c r="M416" s="2114">
        <f>SUM(M418:M423)</f>
        <v>43500</v>
      </c>
      <c r="N416" s="1001">
        <v>3</v>
      </c>
      <c r="O416" s="2114">
        <f>SUM(O418:O423)</f>
        <v>44500</v>
      </c>
      <c r="P416" s="1001">
        <v>2</v>
      </c>
      <c r="Q416" s="2114">
        <f>SUM(Q418:Q423)</f>
        <v>48500</v>
      </c>
      <c r="R416" s="1001">
        <f>E416+F416+H416+J416+L416+N416</f>
        <v>83</v>
      </c>
      <c r="S416" s="1004"/>
      <c r="T416" s="1004"/>
    </row>
    <row r="417" spans="2:20" s="1003" customFormat="1" ht="38.25" x14ac:dyDescent="0.25">
      <c r="B417" s="1067"/>
      <c r="C417" s="999" t="s">
        <v>3235</v>
      </c>
      <c r="D417" s="1015" t="s">
        <v>19</v>
      </c>
      <c r="E417" s="1001">
        <v>100</v>
      </c>
      <c r="F417" s="1001">
        <v>100</v>
      </c>
      <c r="G417" s="2114"/>
      <c r="H417" s="1001">
        <v>100</v>
      </c>
      <c r="I417" s="2114"/>
      <c r="J417" s="1001">
        <v>100</v>
      </c>
      <c r="K417" s="2114"/>
      <c r="L417" s="1001">
        <v>100</v>
      </c>
      <c r="M417" s="2114"/>
      <c r="N417" s="1001">
        <v>100</v>
      </c>
      <c r="O417" s="2114"/>
      <c r="P417" s="1001">
        <v>100</v>
      </c>
      <c r="Q417" s="2114"/>
      <c r="R417" s="1001">
        <v>100</v>
      </c>
      <c r="S417" s="1004"/>
      <c r="T417" s="1004"/>
    </row>
    <row r="418" spans="2:20" s="1003" customFormat="1" ht="38.25" x14ac:dyDescent="0.25">
      <c r="B418" s="1007" t="s">
        <v>144</v>
      </c>
      <c r="C418" s="999" t="s">
        <v>3457</v>
      </c>
      <c r="D418" s="1015" t="s">
        <v>69</v>
      </c>
      <c r="E418" s="1001"/>
      <c r="F418" s="1001">
        <v>0</v>
      </c>
      <c r="G418" s="1001">
        <v>0</v>
      </c>
      <c r="H418" s="1001">
        <v>0</v>
      </c>
      <c r="I418" s="1001">
        <v>0</v>
      </c>
      <c r="J418" s="1001">
        <v>3</v>
      </c>
      <c r="K418" s="1001">
        <v>12000</v>
      </c>
      <c r="L418" s="1001">
        <v>1</v>
      </c>
      <c r="M418" s="1001">
        <v>7000</v>
      </c>
      <c r="N418" s="1001">
        <v>2</v>
      </c>
      <c r="O418" s="1001">
        <v>10000</v>
      </c>
      <c r="P418" s="1001">
        <v>1</v>
      </c>
      <c r="Q418" s="1001">
        <v>7000</v>
      </c>
      <c r="R418" s="1001"/>
      <c r="S418" s="1004"/>
      <c r="T418" s="1004"/>
    </row>
    <row r="419" spans="2:20" s="1003" customFormat="1" ht="25.5" x14ac:dyDescent="0.25">
      <c r="B419" s="998" t="s">
        <v>3236</v>
      </c>
      <c r="C419" s="1000" t="s">
        <v>3466</v>
      </c>
      <c r="D419" s="1025" t="s">
        <v>75</v>
      </c>
      <c r="E419" s="1001"/>
      <c r="F419" s="1001">
        <v>6</v>
      </c>
      <c r="G419" s="1001">
        <v>7500</v>
      </c>
      <c r="H419" s="1001">
        <v>0</v>
      </c>
      <c r="I419" s="1001">
        <v>0</v>
      </c>
      <c r="J419" s="1001">
        <v>25</v>
      </c>
      <c r="K419" s="1001">
        <v>15000</v>
      </c>
      <c r="L419" s="1001">
        <v>25</v>
      </c>
      <c r="M419" s="1001">
        <v>12000</v>
      </c>
      <c r="N419" s="1001">
        <v>25</v>
      </c>
      <c r="O419" s="1001">
        <v>10000</v>
      </c>
      <c r="P419" s="1001">
        <v>25</v>
      </c>
      <c r="Q419" s="1001">
        <v>10000</v>
      </c>
      <c r="R419" s="1001"/>
      <c r="S419" s="1004"/>
      <c r="T419" s="1004"/>
    </row>
    <row r="420" spans="2:20" s="1003" customFormat="1" ht="38.25" x14ac:dyDescent="0.25">
      <c r="B420" s="998" t="s">
        <v>3238</v>
      </c>
      <c r="C420" s="1000" t="s">
        <v>3444</v>
      </c>
      <c r="D420" s="1025" t="s">
        <v>75</v>
      </c>
      <c r="E420" s="1001"/>
      <c r="F420" s="1001">
        <v>7</v>
      </c>
      <c r="G420" s="1001">
        <v>27500</v>
      </c>
      <c r="H420" s="1001">
        <v>4</v>
      </c>
      <c r="I420" s="1001">
        <v>20000</v>
      </c>
      <c r="J420" s="1001">
        <v>3</v>
      </c>
      <c r="K420" s="1001">
        <v>25000</v>
      </c>
      <c r="L420" s="1001">
        <v>1</v>
      </c>
      <c r="M420" s="1001">
        <v>15000</v>
      </c>
      <c r="N420" s="1001">
        <v>1</v>
      </c>
      <c r="O420" s="1001">
        <v>10000</v>
      </c>
      <c r="P420" s="1001">
        <v>2</v>
      </c>
      <c r="Q420" s="1001">
        <v>20000</v>
      </c>
      <c r="R420" s="1001"/>
      <c r="S420" s="1004"/>
      <c r="T420" s="1004"/>
    </row>
    <row r="421" spans="2:20" s="1003" customFormat="1" ht="38.25" x14ac:dyDescent="0.25">
      <c r="B421" s="1007" t="s">
        <v>3240</v>
      </c>
      <c r="C421" s="999" t="s">
        <v>3241</v>
      </c>
      <c r="D421" s="1015" t="s">
        <v>40</v>
      </c>
      <c r="E421" s="1001"/>
      <c r="F421" s="1001">
        <v>0</v>
      </c>
      <c r="G421" s="1001">
        <v>0</v>
      </c>
      <c r="H421" s="1001">
        <v>0</v>
      </c>
      <c r="I421" s="1001">
        <v>0</v>
      </c>
      <c r="J421" s="1001">
        <v>12</v>
      </c>
      <c r="K421" s="1001">
        <v>3500</v>
      </c>
      <c r="L421" s="1001">
        <v>12</v>
      </c>
      <c r="M421" s="1001">
        <v>3500</v>
      </c>
      <c r="N421" s="1001">
        <v>12</v>
      </c>
      <c r="O421" s="1001">
        <v>4000</v>
      </c>
      <c r="P421" s="1001">
        <v>12</v>
      </c>
      <c r="Q421" s="1001">
        <v>4500</v>
      </c>
      <c r="R421" s="1001"/>
      <c r="S421" s="1004"/>
      <c r="T421" s="1004"/>
    </row>
    <row r="422" spans="2:20" s="1003" customFormat="1" ht="38.25" x14ac:dyDescent="0.25">
      <c r="B422" s="1007" t="s">
        <v>3242</v>
      </c>
      <c r="C422" s="999" t="s">
        <v>3160</v>
      </c>
      <c r="D422" s="1015" t="s">
        <v>40</v>
      </c>
      <c r="E422" s="1001"/>
      <c r="F422" s="1001">
        <v>0</v>
      </c>
      <c r="G422" s="1001">
        <v>0</v>
      </c>
      <c r="H422" s="1001">
        <v>0</v>
      </c>
      <c r="I422" s="1001">
        <v>0</v>
      </c>
      <c r="J422" s="1001">
        <v>12</v>
      </c>
      <c r="K422" s="1001">
        <v>6000</v>
      </c>
      <c r="L422" s="1001">
        <v>12</v>
      </c>
      <c r="M422" s="1001">
        <v>6000</v>
      </c>
      <c r="N422" s="1001">
        <v>12</v>
      </c>
      <c r="O422" s="1001">
        <v>6500</v>
      </c>
      <c r="P422" s="1001">
        <v>12</v>
      </c>
      <c r="Q422" s="1001">
        <v>7000</v>
      </c>
      <c r="R422" s="1001"/>
      <c r="S422" s="1004"/>
      <c r="T422" s="1004"/>
    </row>
    <row r="423" spans="2:20" s="1003" customFormat="1" ht="38.25" x14ac:dyDescent="0.25">
      <c r="B423" s="1007" t="s">
        <v>3243</v>
      </c>
      <c r="C423" s="999" t="s">
        <v>3244</v>
      </c>
      <c r="D423" s="1015" t="s">
        <v>40</v>
      </c>
      <c r="E423" s="1001"/>
      <c r="F423" s="1001">
        <v>0</v>
      </c>
      <c r="G423" s="1001">
        <v>0</v>
      </c>
      <c r="H423" s="1001">
        <v>0</v>
      </c>
      <c r="I423" s="1001">
        <v>0</v>
      </c>
      <c r="J423" s="1001">
        <v>12</v>
      </c>
      <c r="K423" s="1001">
        <v>3000</v>
      </c>
      <c r="L423" s="1001">
        <v>0</v>
      </c>
      <c r="M423" s="1001">
        <v>0</v>
      </c>
      <c r="N423" s="1001">
        <v>12</v>
      </c>
      <c r="O423" s="1001">
        <v>4000</v>
      </c>
      <c r="P423" s="1001">
        <v>0</v>
      </c>
      <c r="Q423" s="1001">
        <v>0</v>
      </c>
      <c r="R423" s="1001"/>
      <c r="S423" s="1004"/>
      <c r="T423" s="1004"/>
    </row>
    <row r="424" spans="2:20" s="1003" customFormat="1" ht="63.75" x14ac:dyDescent="0.25">
      <c r="B424" s="1106" t="s">
        <v>3245</v>
      </c>
      <c r="C424" s="1000" t="s">
        <v>3246</v>
      </c>
      <c r="D424" s="1025" t="s">
        <v>79</v>
      </c>
      <c r="E424" s="1001"/>
      <c r="F424" s="1001">
        <v>3</v>
      </c>
      <c r="G424" s="1001">
        <v>5000</v>
      </c>
      <c r="H424" s="1001">
        <v>3</v>
      </c>
      <c r="I424" s="1001">
        <v>6500</v>
      </c>
      <c r="J424" s="1001">
        <f t="shared" ref="J424:Q424" si="50">J425</f>
        <v>7</v>
      </c>
      <c r="K424" s="1001">
        <f t="shared" si="50"/>
        <v>6500</v>
      </c>
      <c r="L424" s="1001">
        <f t="shared" si="50"/>
        <v>7</v>
      </c>
      <c r="M424" s="1001">
        <f t="shared" si="50"/>
        <v>6500</v>
      </c>
      <c r="N424" s="1001">
        <f t="shared" si="50"/>
        <v>7</v>
      </c>
      <c r="O424" s="1001">
        <f t="shared" si="50"/>
        <v>7000</v>
      </c>
      <c r="P424" s="1001">
        <f t="shared" si="50"/>
        <v>8</v>
      </c>
      <c r="Q424" s="1001">
        <f t="shared" si="50"/>
        <v>7500</v>
      </c>
      <c r="R424" s="1001">
        <f>E424+F424+H424+J424+L424+N424</f>
        <v>27</v>
      </c>
      <c r="S424" s="1004"/>
      <c r="T424" s="1004"/>
    </row>
    <row r="425" spans="2:20" s="1003" customFormat="1" ht="102" x14ac:dyDescent="0.25">
      <c r="B425" s="998" t="s">
        <v>80</v>
      </c>
      <c r="C425" s="1000" t="s">
        <v>3467</v>
      </c>
      <c r="D425" s="1025" t="s">
        <v>79</v>
      </c>
      <c r="E425" s="1001"/>
      <c r="F425" s="1001">
        <v>3</v>
      </c>
      <c r="G425" s="1001">
        <v>5000</v>
      </c>
      <c r="H425" s="1001">
        <v>3</v>
      </c>
      <c r="I425" s="1001">
        <v>6500</v>
      </c>
      <c r="J425" s="1001">
        <v>7</v>
      </c>
      <c r="K425" s="1001">
        <v>6500</v>
      </c>
      <c r="L425" s="1001">
        <v>7</v>
      </c>
      <c r="M425" s="1001">
        <v>6500</v>
      </c>
      <c r="N425" s="1001">
        <v>7</v>
      </c>
      <c r="O425" s="1001">
        <v>7000</v>
      </c>
      <c r="P425" s="1001">
        <v>8</v>
      </c>
      <c r="Q425" s="1001">
        <v>7500</v>
      </c>
      <c r="R425" s="1001"/>
      <c r="S425" s="1004"/>
      <c r="T425" s="1004"/>
    </row>
    <row r="426" spans="2:20" s="1003" customFormat="1" ht="48" x14ac:dyDescent="0.25">
      <c r="B426" s="1106" t="s">
        <v>3411</v>
      </c>
      <c r="C426" s="1000" t="s">
        <v>3446</v>
      </c>
      <c r="D426" s="1025" t="s">
        <v>79</v>
      </c>
      <c r="E426" s="1001">
        <v>33</v>
      </c>
      <c r="F426" s="1001">
        <v>33</v>
      </c>
      <c r="G426" s="1001">
        <v>12800</v>
      </c>
      <c r="H426" s="1001">
        <v>33</v>
      </c>
      <c r="I426" s="1001">
        <v>14400</v>
      </c>
      <c r="J426" s="1001">
        <v>33</v>
      </c>
      <c r="K426" s="1001">
        <v>15000</v>
      </c>
      <c r="L426" s="1001">
        <v>33</v>
      </c>
      <c r="M426" s="1001">
        <v>15000</v>
      </c>
      <c r="N426" s="1001">
        <v>33</v>
      </c>
      <c r="O426" s="1001">
        <v>12000</v>
      </c>
      <c r="P426" s="1001">
        <v>33</v>
      </c>
      <c r="Q426" s="1001">
        <v>15000</v>
      </c>
      <c r="R426" s="1001">
        <f>E426+F426+H426+J426+L426+N426</f>
        <v>198</v>
      </c>
      <c r="S426" s="1004"/>
      <c r="T426" s="1004"/>
    </row>
    <row r="427" spans="2:20" s="1003" customFormat="1" ht="63.75" x14ac:dyDescent="0.25">
      <c r="B427" s="998" t="s">
        <v>1712</v>
      </c>
      <c r="C427" s="1000" t="s">
        <v>3250</v>
      </c>
      <c r="D427" s="1025" t="s">
        <v>265</v>
      </c>
      <c r="E427" s="1001"/>
      <c r="F427" s="1001">
        <v>32</v>
      </c>
      <c r="G427" s="1001">
        <v>12800</v>
      </c>
      <c r="H427" s="1001">
        <v>32</v>
      </c>
      <c r="I427" s="1001">
        <v>14400</v>
      </c>
      <c r="J427" s="1001">
        <v>32</v>
      </c>
      <c r="K427" s="1001">
        <v>15000</v>
      </c>
      <c r="L427" s="1001">
        <v>32</v>
      </c>
      <c r="M427" s="1001">
        <v>15000</v>
      </c>
      <c r="N427" s="1001">
        <v>32</v>
      </c>
      <c r="O427" s="1001">
        <v>15000</v>
      </c>
      <c r="P427" s="1001">
        <v>32</v>
      </c>
      <c r="Q427" s="1001">
        <v>15000</v>
      </c>
      <c r="R427" s="1001"/>
      <c r="S427" s="1004"/>
      <c r="T427" s="1004"/>
    </row>
    <row r="428" spans="2:20" s="1003" customFormat="1" ht="63.75" customHeight="1" x14ac:dyDescent="0.25">
      <c r="B428" s="1106" t="s">
        <v>3251</v>
      </c>
      <c r="C428" s="1000" t="s">
        <v>3252</v>
      </c>
      <c r="D428" s="1025" t="s">
        <v>79</v>
      </c>
      <c r="E428" s="1001">
        <v>30</v>
      </c>
      <c r="F428" s="1001">
        <v>32</v>
      </c>
      <c r="G428" s="1028">
        <v>16000</v>
      </c>
      <c r="H428" s="1001">
        <v>32</v>
      </c>
      <c r="I428" s="1029">
        <v>32000</v>
      </c>
      <c r="J428" s="1001">
        <f>J429</f>
        <v>32</v>
      </c>
      <c r="K428" s="1105">
        <f>SUM(K429:K429)</f>
        <v>35000</v>
      </c>
      <c r="L428" s="1001">
        <f>L429</f>
        <v>32</v>
      </c>
      <c r="M428" s="1105">
        <f>SUM(M429:M429)</f>
        <v>36000</v>
      </c>
      <c r="N428" s="1001">
        <f>N429</f>
        <v>32</v>
      </c>
      <c r="O428" s="1105">
        <f>SUM(O429:O429)</f>
        <v>37000</v>
      </c>
      <c r="P428" s="1001">
        <f>P429</f>
        <v>32</v>
      </c>
      <c r="Q428" s="1105">
        <f>SUM(Q429:Q429)</f>
        <v>38000</v>
      </c>
      <c r="R428" s="1001">
        <f>E428+F428+H428+J428+L428+N428</f>
        <v>190</v>
      </c>
      <c r="S428" s="1004"/>
      <c r="T428" s="1004"/>
    </row>
    <row r="429" spans="2:20" s="1003" customFormat="1" ht="38.25" x14ac:dyDescent="0.25">
      <c r="B429" s="998" t="s">
        <v>3254</v>
      </c>
      <c r="C429" s="1000" t="s">
        <v>3255</v>
      </c>
      <c r="D429" s="1025" t="s">
        <v>97</v>
      </c>
      <c r="E429" s="1001"/>
      <c r="F429" s="1001">
        <v>32</v>
      </c>
      <c r="G429" s="1001">
        <v>26000</v>
      </c>
      <c r="H429" s="1001">
        <v>32</v>
      </c>
      <c r="I429" s="1001">
        <v>32000</v>
      </c>
      <c r="J429" s="1001">
        <v>32</v>
      </c>
      <c r="K429" s="1001">
        <v>35000</v>
      </c>
      <c r="L429" s="1001">
        <v>32</v>
      </c>
      <c r="M429" s="1001">
        <v>36000</v>
      </c>
      <c r="N429" s="1001">
        <v>32</v>
      </c>
      <c r="O429" s="1001">
        <v>37000</v>
      </c>
      <c r="P429" s="1001">
        <v>32</v>
      </c>
      <c r="Q429" s="1001">
        <v>38000</v>
      </c>
      <c r="R429" s="1001"/>
      <c r="S429" s="1004"/>
      <c r="T429" s="1004"/>
    </row>
    <row r="430" spans="2:20" s="1003" customFormat="1" ht="96" x14ac:dyDescent="0.25">
      <c r="B430" s="1106" t="s">
        <v>551</v>
      </c>
      <c r="C430" s="1000" t="s">
        <v>3386</v>
      </c>
      <c r="D430" s="1025" t="s">
        <v>19</v>
      </c>
      <c r="E430" s="1001">
        <v>100</v>
      </c>
      <c r="F430" s="1001">
        <v>100</v>
      </c>
      <c r="G430" s="1001">
        <v>55200</v>
      </c>
      <c r="H430" s="1001">
        <v>100</v>
      </c>
      <c r="I430" s="1001">
        <v>51000</v>
      </c>
      <c r="J430" s="1001">
        <v>100</v>
      </c>
      <c r="K430" s="1001">
        <v>50000</v>
      </c>
      <c r="L430" s="1001">
        <v>100</v>
      </c>
      <c r="M430" s="1001">
        <v>50000</v>
      </c>
      <c r="N430" s="1001">
        <v>100</v>
      </c>
      <c r="O430" s="1001">
        <v>55000</v>
      </c>
      <c r="P430" s="1001">
        <v>100</v>
      </c>
      <c r="Q430" s="1001">
        <v>60000</v>
      </c>
      <c r="R430" s="1001">
        <v>100</v>
      </c>
      <c r="S430" s="1004"/>
      <c r="T430" s="1004"/>
    </row>
    <row r="431" spans="2:20" s="1003" customFormat="1" ht="25.5" x14ac:dyDescent="0.25">
      <c r="B431" s="998" t="s">
        <v>3421</v>
      </c>
      <c r="C431" s="1000" t="s">
        <v>3422</v>
      </c>
      <c r="D431" s="1025" t="s">
        <v>40</v>
      </c>
      <c r="E431" s="1001"/>
      <c r="F431" s="1001">
        <v>12</v>
      </c>
      <c r="G431" s="1001">
        <v>55200</v>
      </c>
      <c r="H431" s="1001">
        <v>12</v>
      </c>
      <c r="I431" s="1001">
        <v>51000</v>
      </c>
      <c r="J431" s="1001">
        <v>12</v>
      </c>
      <c r="K431" s="1001">
        <v>50000</v>
      </c>
      <c r="L431" s="1001">
        <v>12</v>
      </c>
      <c r="M431" s="1001">
        <v>50000</v>
      </c>
      <c r="N431" s="1001">
        <v>12</v>
      </c>
      <c r="O431" s="1001">
        <v>55000</v>
      </c>
      <c r="P431" s="1001">
        <v>12</v>
      </c>
      <c r="Q431" s="1001">
        <v>60000</v>
      </c>
      <c r="R431" s="1001"/>
      <c r="S431" s="1004"/>
      <c r="T431" s="1004"/>
    </row>
    <row r="432" spans="2:20" s="1003" customFormat="1" ht="84" x14ac:dyDescent="0.25">
      <c r="B432" s="1106" t="s">
        <v>1743</v>
      </c>
      <c r="C432" s="1000" t="s">
        <v>3265</v>
      </c>
      <c r="D432" s="1025" t="s">
        <v>19</v>
      </c>
      <c r="E432" s="1001">
        <v>100</v>
      </c>
      <c r="F432" s="1001">
        <v>60</v>
      </c>
      <c r="G432" s="1001">
        <v>57000</v>
      </c>
      <c r="H432" s="1001">
        <v>70</v>
      </c>
      <c r="I432" s="1001">
        <f>SUM(I433:I434)</f>
        <v>60800</v>
      </c>
      <c r="J432" s="1001">
        <v>80</v>
      </c>
      <c r="K432" s="1001">
        <f>SUM(K433:K434)</f>
        <v>75000</v>
      </c>
      <c r="L432" s="1001">
        <v>90</v>
      </c>
      <c r="M432" s="1001">
        <f>SUM(M433:M434)</f>
        <v>85000</v>
      </c>
      <c r="N432" s="1001">
        <v>100</v>
      </c>
      <c r="O432" s="1001">
        <f>SUM(O433:O434)</f>
        <v>95000</v>
      </c>
      <c r="P432" s="1001">
        <v>100</v>
      </c>
      <c r="Q432" s="1001">
        <f>SUM(Q433:Q434)</f>
        <v>105000</v>
      </c>
      <c r="R432" s="1001">
        <v>100</v>
      </c>
      <c r="S432" s="1004"/>
      <c r="T432" s="1004"/>
    </row>
    <row r="433" spans="2:20" s="1003" customFormat="1" ht="25.5" x14ac:dyDescent="0.25">
      <c r="B433" s="998" t="s">
        <v>3266</v>
      </c>
      <c r="C433" s="1000" t="s">
        <v>3267</v>
      </c>
      <c r="D433" s="1025" t="s">
        <v>265</v>
      </c>
      <c r="E433" s="1001"/>
      <c r="F433" s="1001">
        <v>32</v>
      </c>
      <c r="G433" s="1001">
        <v>41000</v>
      </c>
      <c r="H433" s="1001">
        <v>32</v>
      </c>
      <c r="I433" s="1001">
        <v>44800</v>
      </c>
      <c r="J433" s="1001">
        <v>32</v>
      </c>
      <c r="K433" s="1001">
        <v>45000</v>
      </c>
      <c r="L433" s="1001">
        <v>32</v>
      </c>
      <c r="M433" s="1001">
        <v>50000</v>
      </c>
      <c r="N433" s="1001">
        <v>32</v>
      </c>
      <c r="O433" s="1001">
        <v>55000</v>
      </c>
      <c r="P433" s="1001">
        <v>32</v>
      </c>
      <c r="Q433" s="1001">
        <v>60000</v>
      </c>
      <c r="R433" s="1001"/>
      <c r="S433" s="1004"/>
      <c r="T433" s="1004"/>
    </row>
    <row r="434" spans="2:20" s="1003" customFormat="1" ht="76.5" x14ac:dyDescent="0.25">
      <c r="B434" s="998" t="s">
        <v>3468</v>
      </c>
      <c r="C434" s="1000" t="s">
        <v>3273</v>
      </c>
      <c r="D434" s="1025" t="s">
        <v>265</v>
      </c>
      <c r="E434" s="1001"/>
      <c r="F434" s="1001">
        <v>32</v>
      </c>
      <c r="G434" s="1001">
        <v>16000</v>
      </c>
      <c r="H434" s="1001">
        <v>32</v>
      </c>
      <c r="I434" s="1001">
        <v>16000</v>
      </c>
      <c r="J434" s="1001">
        <v>32</v>
      </c>
      <c r="K434" s="1001">
        <v>30000</v>
      </c>
      <c r="L434" s="1001">
        <v>32</v>
      </c>
      <c r="M434" s="1001">
        <v>35000</v>
      </c>
      <c r="N434" s="1001">
        <v>32</v>
      </c>
      <c r="O434" s="1001">
        <v>40000</v>
      </c>
      <c r="P434" s="1001">
        <v>32</v>
      </c>
      <c r="Q434" s="1001">
        <v>45000</v>
      </c>
      <c r="R434" s="1001"/>
      <c r="S434" s="1004"/>
      <c r="T434" s="1004"/>
    </row>
    <row r="435" spans="2:20" s="1003" customFormat="1" ht="76.5" customHeight="1" x14ac:dyDescent="0.25">
      <c r="B435" s="1008" t="s">
        <v>3425</v>
      </c>
      <c r="C435" s="1000" t="s">
        <v>3274</v>
      </c>
      <c r="D435" s="1025" t="s">
        <v>79</v>
      </c>
      <c r="E435" s="1001">
        <v>1</v>
      </c>
      <c r="F435" s="1001">
        <v>1</v>
      </c>
      <c r="G435" s="1001">
        <v>5000</v>
      </c>
      <c r="H435" s="1001">
        <v>1</v>
      </c>
      <c r="I435" s="1001">
        <v>11000</v>
      </c>
      <c r="J435" s="1001">
        <v>1</v>
      </c>
      <c r="K435" s="1001">
        <v>7000</v>
      </c>
      <c r="L435" s="1001">
        <v>1</v>
      </c>
      <c r="M435" s="1001">
        <v>8000</v>
      </c>
      <c r="N435" s="1001">
        <v>1</v>
      </c>
      <c r="O435" s="1001">
        <v>8000</v>
      </c>
      <c r="P435" s="1001">
        <v>1</v>
      </c>
      <c r="Q435" s="1001">
        <v>8000</v>
      </c>
      <c r="R435" s="1001">
        <f>E435+F435+H435+J435+L435+N435</f>
        <v>6</v>
      </c>
      <c r="S435" s="1004"/>
      <c r="T435" s="1004"/>
    </row>
    <row r="436" spans="2:20" s="1003" customFormat="1" ht="25.5" x14ac:dyDescent="0.25">
      <c r="B436" s="1008" t="s">
        <v>3277</v>
      </c>
      <c r="C436" s="1000" t="s">
        <v>3278</v>
      </c>
      <c r="D436" s="1025" t="s">
        <v>265</v>
      </c>
      <c r="E436" s="1001"/>
      <c r="F436" s="1001">
        <v>32</v>
      </c>
      <c r="G436" s="1001">
        <v>5000</v>
      </c>
      <c r="H436" s="1001">
        <v>32</v>
      </c>
      <c r="I436" s="1001">
        <v>11000</v>
      </c>
      <c r="J436" s="1001">
        <v>32</v>
      </c>
      <c r="K436" s="1001">
        <v>7000</v>
      </c>
      <c r="L436" s="1001">
        <v>32</v>
      </c>
      <c r="M436" s="1001">
        <v>8000</v>
      </c>
      <c r="N436" s="1001">
        <v>32</v>
      </c>
      <c r="O436" s="1001">
        <v>8000</v>
      </c>
      <c r="P436" s="1001">
        <v>32</v>
      </c>
      <c r="Q436" s="1001">
        <v>8000</v>
      </c>
      <c r="R436" s="1001"/>
      <c r="S436" s="1004"/>
      <c r="T436" s="1004"/>
    </row>
    <row r="437" spans="2:20" s="1003" customFormat="1" ht="63.75" customHeight="1" x14ac:dyDescent="0.25">
      <c r="B437" s="1063" t="s">
        <v>3280</v>
      </c>
      <c r="C437" s="1000" t="s">
        <v>3279</v>
      </c>
      <c r="D437" s="1025" t="s">
        <v>265</v>
      </c>
      <c r="E437" s="1001">
        <v>32</v>
      </c>
      <c r="F437" s="1001">
        <v>32</v>
      </c>
      <c r="G437" s="1001">
        <f>SUM(G438:G439)</f>
        <v>6000</v>
      </c>
      <c r="H437" s="1001">
        <v>32</v>
      </c>
      <c r="I437" s="1001">
        <f>SUM(I438:I439)</f>
        <v>12000</v>
      </c>
      <c r="J437" s="1001">
        <v>32</v>
      </c>
      <c r="K437" s="1001">
        <f>SUM(K438:K439)</f>
        <v>13500</v>
      </c>
      <c r="L437" s="1001">
        <v>32</v>
      </c>
      <c r="M437" s="1001">
        <f>SUM(M438:M439)</f>
        <v>15000</v>
      </c>
      <c r="N437" s="1001">
        <v>32</v>
      </c>
      <c r="O437" s="1001">
        <f>SUM(O438:O439)</f>
        <v>16000</v>
      </c>
      <c r="P437" s="1001">
        <v>32</v>
      </c>
      <c r="Q437" s="1001">
        <f>SUM(Q438:Q439)</f>
        <v>17000</v>
      </c>
      <c r="R437" s="1001">
        <f>N437</f>
        <v>32</v>
      </c>
      <c r="S437" s="1004"/>
      <c r="T437" s="1004"/>
    </row>
    <row r="438" spans="2:20" s="1003" customFormat="1" ht="38.25" x14ac:dyDescent="0.25">
      <c r="B438" s="1008" t="s">
        <v>1298</v>
      </c>
      <c r="C438" s="1000" t="s">
        <v>3469</v>
      </c>
      <c r="D438" s="1025" t="s">
        <v>275</v>
      </c>
      <c r="E438" s="1001"/>
      <c r="F438" s="1001">
        <v>1</v>
      </c>
      <c r="G438" s="1001">
        <v>0</v>
      </c>
      <c r="H438" s="1001">
        <v>1</v>
      </c>
      <c r="I438" s="1001">
        <f>I439</f>
        <v>6000</v>
      </c>
      <c r="J438" s="1001">
        <v>1</v>
      </c>
      <c r="K438" s="1001">
        <v>6500</v>
      </c>
      <c r="L438" s="1001">
        <v>1</v>
      </c>
      <c r="M438" s="1001">
        <v>7000</v>
      </c>
      <c r="N438" s="1001">
        <v>1</v>
      </c>
      <c r="O438" s="1001">
        <v>7000</v>
      </c>
      <c r="P438" s="1001">
        <v>1</v>
      </c>
      <c r="Q438" s="1001">
        <v>7000</v>
      </c>
      <c r="R438" s="1001"/>
      <c r="S438" s="1004"/>
      <c r="T438" s="1004"/>
    </row>
    <row r="439" spans="2:20" s="1003" customFormat="1" ht="63.75" x14ac:dyDescent="0.25">
      <c r="B439" s="1008" t="s">
        <v>3282</v>
      </c>
      <c r="C439" s="1000" t="s">
        <v>3447</v>
      </c>
      <c r="D439" s="1025" t="s">
        <v>275</v>
      </c>
      <c r="E439" s="1001"/>
      <c r="F439" s="1001">
        <v>2</v>
      </c>
      <c r="G439" s="1001">
        <v>6000</v>
      </c>
      <c r="H439" s="1001">
        <v>2</v>
      </c>
      <c r="I439" s="1001">
        <v>6000</v>
      </c>
      <c r="J439" s="1001">
        <v>2</v>
      </c>
      <c r="K439" s="1001">
        <v>7000</v>
      </c>
      <c r="L439" s="1001">
        <v>2</v>
      </c>
      <c r="M439" s="1001">
        <v>8000</v>
      </c>
      <c r="N439" s="1001">
        <v>2</v>
      </c>
      <c r="O439" s="1001">
        <v>9000</v>
      </c>
      <c r="P439" s="1001">
        <v>2</v>
      </c>
      <c r="Q439" s="1001">
        <v>10000</v>
      </c>
      <c r="R439" s="1001"/>
      <c r="S439" s="1004"/>
      <c r="T439" s="1004"/>
    </row>
    <row r="440" spans="2:20" s="1003" customFormat="1" ht="48" x14ac:dyDescent="0.25">
      <c r="B440" s="1106" t="s">
        <v>3289</v>
      </c>
      <c r="C440" s="1009" t="s">
        <v>3448</v>
      </c>
      <c r="D440" s="1025" t="s">
        <v>275</v>
      </c>
      <c r="E440" s="1001">
        <v>0</v>
      </c>
      <c r="F440" s="1001">
        <f>F441</f>
        <v>1</v>
      </c>
      <c r="G440" s="1001">
        <f t="shared" ref="G440:P440" si="51">G441</f>
        <v>10000</v>
      </c>
      <c r="H440" s="1001">
        <f t="shared" si="51"/>
        <v>1</v>
      </c>
      <c r="I440" s="1001">
        <v>11000</v>
      </c>
      <c r="J440" s="1001">
        <f t="shared" si="51"/>
        <v>1</v>
      </c>
      <c r="K440" s="1001">
        <v>12000</v>
      </c>
      <c r="L440" s="1001">
        <f t="shared" si="51"/>
        <v>1</v>
      </c>
      <c r="M440" s="1001">
        <v>13000</v>
      </c>
      <c r="N440" s="1001">
        <f t="shared" si="51"/>
        <v>1</v>
      </c>
      <c r="O440" s="1001">
        <v>14000</v>
      </c>
      <c r="P440" s="1001">
        <f t="shared" si="51"/>
        <v>1</v>
      </c>
      <c r="Q440" s="1001">
        <v>15000</v>
      </c>
      <c r="R440" s="1001">
        <f>F440+H440+J440+L440+N440</f>
        <v>5</v>
      </c>
      <c r="S440" s="1004"/>
      <c r="T440" s="1004"/>
    </row>
    <row r="441" spans="2:20" s="1003" customFormat="1" ht="76.5" x14ac:dyDescent="0.25">
      <c r="B441" s="998" t="s">
        <v>894</v>
      </c>
      <c r="C441" s="1009" t="s">
        <v>3448</v>
      </c>
      <c r="D441" s="1025" t="s">
        <v>275</v>
      </c>
      <c r="E441" s="1001"/>
      <c r="F441" s="1001">
        <v>1</v>
      </c>
      <c r="G441" s="1001">
        <v>10000</v>
      </c>
      <c r="H441" s="1001">
        <v>1</v>
      </c>
      <c r="I441" s="1001">
        <v>11000</v>
      </c>
      <c r="J441" s="1001">
        <v>1</v>
      </c>
      <c r="K441" s="1001">
        <v>12000</v>
      </c>
      <c r="L441" s="1001">
        <v>1</v>
      </c>
      <c r="M441" s="1001">
        <v>13000</v>
      </c>
      <c r="N441" s="1001">
        <v>1</v>
      </c>
      <c r="O441" s="1001">
        <v>14000</v>
      </c>
      <c r="P441" s="1001">
        <v>1</v>
      </c>
      <c r="Q441" s="1001">
        <v>15000</v>
      </c>
      <c r="R441" s="1001"/>
      <c r="S441" s="1004"/>
      <c r="T441" s="1004"/>
    </row>
    <row r="442" spans="2:20" s="1003" customFormat="1" ht="60" x14ac:dyDescent="0.25">
      <c r="B442" s="1063" t="s">
        <v>3449</v>
      </c>
      <c r="C442" s="1000" t="s">
        <v>3291</v>
      </c>
      <c r="D442" s="1025" t="s">
        <v>19</v>
      </c>
      <c r="E442" s="1001">
        <v>0</v>
      </c>
      <c r="F442" s="1001">
        <f>F443</f>
        <v>0</v>
      </c>
      <c r="G442" s="1001">
        <f t="shared" ref="G442:Q442" si="52">G443</f>
        <v>0</v>
      </c>
      <c r="H442" s="1001">
        <f t="shared" si="52"/>
        <v>0</v>
      </c>
      <c r="I442" s="1001">
        <f t="shared" si="52"/>
        <v>0</v>
      </c>
      <c r="J442" s="1001">
        <v>2</v>
      </c>
      <c r="K442" s="1001">
        <v>3000</v>
      </c>
      <c r="L442" s="1001">
        <v>30</v>
      </c>
      <c r="M442" s="1001">
        <v>45000</v>
      </c>
      <c r="N442" s="1001">
        <f t="shared" si="52"/>
        <v>0</v>
      </c>
      <c r="O442" s="1001">
        <f t="shared" si="52"/>
        <v>0</v>
      </c>
      <c r="P442" s="1001">
        <f t="shared" si="52"/>
        <v>0</v>
      </c>
      <c r="Q442" s="1001">
        <f t="shared" si="52"/>
        <v>0</v>
      </c>
      <c r="R442" s="1001">
        <f>L442</f>
        <v>30</v>
      </c>
      <c r="S442" s="1004"/>
      <c r="T442" s="1004"/>
    </row>
    <row r="443" spans="2:20" s="1003" customFormat="1" ht="38.25" x14ac:dyDescent="0.25">
      <c r="B443" s="1008" t="s">
        <v>3293</v>
      </c>
      <c r="C443" s="1000" t="s">
        <v>3294</v>
      </c>
      <c r="D443" s="1025" t="s">
        <v>265</v>
      </c>
      <c r="E443" s="1001"/>
      <c r="F443" s="1001">
        <v>0</v>
      </c>
      <c r="G443" s="1001">
        <v>0</v>
      </c>
      <c r="H443" s="1001">
        <v>0</v>
      </c>
      <c r="I443" s="1001">
        <v>0</v>
      </c>
      <c r="J443" s="1001">
        <v>2</v>
      </c>
      <c r="K443" s="1001">
        <v>3000</v>
      </c>
      <c r="L443" s="1001">
        <v>30</v>
      </c>
      <c r="M443" s="1001">
        <v>45000</v>
      </c>
      <c r="N443" s="1001">
        <v>0</v>
      </c>
      <c r="O443" s="1001">
        <v>0</v>
      </c>
      <c r="P443" s="1001">
        <v>0</v>
      </c>
      <c r="Q443" s="1001">
        <v>0</v>
      </c>
      <c r="R443" s="1001"/>
      <c r="S443" s="1004"/>
      <c r="T443" s="1004"/>
    </row>
    <row r="444" spans="2:20" s="1003" customFormat="1" ht="60" x14ac:dyDescent="0.25">
      <c r="B444" s="1063" t="s">
        <v>3296</v>
      </c>
      <c r="C444" s="1000" t="s">
        <v>3295</v>
      </c>
      <c r="D444" s="1025" t="s">
        <v>265</v>
      </c>
      <c r="E444" s="1001">
        <v>32</v>
      </c>
      <c r="F444" s="1001">
        <v>32</v>
      </c>
      <c r="G444" s="1001">
        <v>5000</v>
      </c>
      <c r="H444" s="1001">
        <v>32</v>
      </c>
      <c r="I444" s="1001">
        <v>6500</v>
      </c>
      <c r="J444" s="1001">
        <v>32</v>
      </c>
      <c r="K444" s="1001">
        <v>8000</v>
      </c>
      <c r="L444" s="1001">
        <v>32</v>
      </c>
      <c r="M444" s="1001">
        <f>M445</f>
        <v>10000</v>
      </c>
      <c r="N444" s="1001">
        <v>32</v>
      </c>
      <c r="O444" s="1001">
        <f>O445</f>
        <v>10000</v>
      </c>
      <c r="P444" s="1001">
        <v>32</v>
      </c>
      <c r="Q444" s="1001">
        <f>Q445</f>
        <v>12000</v>
      </c>
      <c r="R444" s="1001">
        <f>N444</f>
        <v>32</v>
      </c>
      <c r="S444" s="1004"/>
      <c r="T444" s="1004"/>
    </row>
    <row r="445" spans="2:20" s="1003" customFormat="1" x14ac:dyDescent="0.25">
      <c r="B445" s="1008" t="s">
        <v>383</v>
      </c>
      <c r="C445" s="1000" t="s">
        <v>3297</v>
      </c>
      <c r="D445" s="1025"/>
      <c r="E445" s="1001"/>
      <c r="F445" s="1001">
        <v>32</v>
      </c>
      <c r="G445" s="1001">
        <v>5000</v>
      </c>
      <c r="H445" s="1001">
        <v>32</v>
      </c>
      <c r="I445" s="1001">
        <v>6500</v>
      </c>
      <c r="J445" s="1001">
        <v>32</v>
      </c>
      <c r="K445" s="1001">
        <v>8000</v>
      </c>
      <c r="L445" s="1001">
        <v>32</v>
      </c>
      <c r="M445" s="1001">
        <v>10000</v>
      </c>
      <c r="N445" s="1001">
        <v>32</v>
      </c>
      <c r="O445" s="1001">
        <v>10000</v>
      </c>
      <c r="P445" s="1001">
        <v>32</v>
      </c>
      <c r="Q445" s="1001">
        <v>12000</v>
      </c>
      <c r="R445" s="1001"/>
      <c r="S445" s="1004"/>
      <c r="T445" s="1004"/>
    </row>
    <row r="446" spans="2:20" s="1003" customFormat="1" x14ac:dyDescent="0.25">
      <c r="B446" s="1027" t="s">
        <v>2651</v>
      </c>
      <c r="C446" s="1000"/>
      <c r="D446" s="1025"/>
      <c r="E446" s="1000"/>
      <c r="F446" s="1000"/>
      <c r="G446" s="1012">
        <v>313531</v>
      </c>
      <c r="H446" s="1012"/>
      <c r="I446" s="1012">
        <v>325083</v>
      </c>
      <c r="J446" s="1012"/>
      <c r="K446" s="1012">
        <f>K444+K442+K440+K437+K435+K432+K430+K428+K426+K424+K416+K402</f>
        <v>419200</v>
      </c>
      <c r="L446" s="1012"/>
      <c r="M446" s="1012">
        <f>M444+M442+M440+M437+M435+M432+M430+M428+M426+M424+M416+M402</f>
        <v>473000</v>
      </c>
      <c r="N446" s="1012"/>
      <c r="O446" s="1012">
        <f>O444+O442+O440+O437+O435+O432+O430+O428+O426+O424+O416+O402</f>
        <v>459000</v>
      </c>
      <c r="P446" s="1012"/>
      <c r="Q446" s="1012">
        <f>Q444+Q442+Q440+Q437+Q435+Q432+Q430+Q428+Q426+Q424+Q416+Q402</f>
        <v>501000</v>
      </c>
      <c r="R446" s="1000"/>
      <c r="S446" s="1013"/>
      <c r="T446" s="1013"/>
    </row>
    <row r="447" spans="2:20" s="1003" customFormat="1" x14ac:dyDescent="0.25">
      <c r="B447" s="1005"/>
      <c r="C447" s="1100"/>
      <c r="D447" s="1000"/>
      <c r="E447" s="1001"/>
      <c r="F447" s="1001"/>
      <c r="G447" s="1001"/>
      <c r="H447" s="1001"/>
      <c r="I447" s="1001"/>
      <c r="J447" s="1001"/>
      <c r="K447" s="1001"/>
      <c r="L447" s="1001"/>
      <c r="M447" s="1001"/>
      <c r="N447" s="1001"/>
      <c r="O447" s="1001"/>
      <c r="P447" s="1001"/>
      <c r="Q447" s="1001"/>
      <c r="R447" s="1001"/>
      <c r="S447" s="1004"/>
      <c r="T447" s="1004"/>
    </row>
    <row r="448" spans="2:20" s="1003" customFormat="1" x14ac:dyDescent="0.25">
      <c r="B448" s="1167" t="s">
        <v>3470</v>
      </c>
      <c r="C448" s="1100"/>
      <c r="D448" s="1000"/>
      <c r="E448" s="1001"/>
      <c r="F448" s="1001"/>
      <c r="G448" s="1001"/>
      <c r="H448" s="1001"/>
      <c r="I448" s="1001"/>
      <c r="J448" s="1001"/>
      <c r="K448" s="1001"/>
      <c r="L448" s="1001"/>
      <c r="M448" s="1001"/>
      <c r="N448" s="1001"/>
      <c r="O448" s="1001"/>
      <c r="P448" s="1001"/>
      <c r="Q448" s="1001"/>
      <c r="R448" s="1001"/>
      <c r="S448" s="1004"/>
      <c r="T448" s="1004"/>
    </row>
    <row r="449" spans="2:20" s="1003" customFormat="1" ht="51" customHeight="1" x14ac:dyDescent="0.25">
      <c r="B449" s="998"/>
      <c r="C449" s="999" t="s">
        <v>3228</v>
      </c>
      <c r="D449" s="1025" t="s">
        <v>19</v>
      </c>
      <c r="E449" s="1001">
        <v>90</v>
      </c>
      <c r="F449" s="1001">
        <v>93</v>
      </c>
      <c r="G449" s="1001"/>
      <c r="H449" s="1001">
        <v>94</v>
      </c>
      <c r="I449" s="1001"/>
      <c r="J449" s="1001">
        <v>95</v>
      </c>
      <c r="K449" s="1001"/>
      <c r="L449" s="1001">
        <v>96</v>
      </c>
      <c r="M449" s="1001"/>
      <c r="N449" s="1001">
        <v>97</v>
      </c>
      <c r="O449" s="1001"/>
      <c r="P449" s="1001">
        <v>98</v>
      </c>
      <c r="Q449" s="1001"/>
      <c r="R449" s="1001">
        <v>97</v>
      </c>
      <c r="S449" s="1002"/>
      <c r="T449" s="1002"/>
    </row>
    <row r="450" spans="2:20" s="1003" customFormat="1" ht="63.75" x14ac:dyDescent="0.25">
      <c r="B450" s="1106" t="s">
        <v>3229</v>
      </c>
      <c r="C450" s="1000" t="s">
        <v>1488</v>
      </c>
      <c r="D450" s="1025" t="s">
        <v>19</v>
      </c>
      <c r="E450" s="1001">
        <v>100</v>
      </c>
      <c r="F450" s="1001">
        <v>20</v>
      </c>
      <c r="G450" s="1001">
        <v>101990</v>
      </c>
      <c r="H450" s="1001">
        <v>20</v>
      </c>
      <c r="I450" s="1001">
        <v>125150</v>
      </c>
      <c r="J450" s="1001">
        <v>20</v>
      </c>
      <c r="K450" s="1001">
        <v>137200</v>
      </c>
      <c r="L450" s="1001">
        <v>20</v>
      </c>
      <c r="M450" s="1001">
        <v>138300</v>
      </c>
      <c r="N450" s="1001">
        <v>20</v>
      </c>
      <c r="O450" s="1001">
        <v>138300</v>
      </c>
      <c r="P450" s="1001">
        <v>20</v>
      </c>
      <c r="Q450" s="1001">
        <v>139400</v>
      </c>
      <c r="R450" s="1001">
        <v>100</v>
      </c>
      <c r="S450" s="1004"/>
      <c r="T450" s="1004"/>
    </row>
    <row r="451" spans="2:20" s="1003" customFormat="1" ht="25.5" x14ac:dyDescent="0.25">
      <c r="B451" s="998" t="s">
        <v>124</v>
      </c>
      <c r="C451" s="1100" t="s">
        <v>3230</v>
      </c>
      <c r="D451" s="1025" t="s">
        <v>40</v>
      </c>
      <c r="E451" s="1001"/>
      <c r="F451" s="1001">
        <v>12</v>
      </c>
      <c r="G451" s="1001">
        <v>1000</v>
      </c>
      <c r="H451" s="1001">
        <v>12</v>
      </c>
      <c r="I451" s="1001">
        <v>1100</v>
      </c>
      <c r="J451" s="1001">
        <v>12</v>
      </c>
      <c r="K451" s="1001">
        <v>3000</v>
      </c>
      <c r="L451" s="1001">
        <v>12</v>
      </c>
      <c r="M451" s="1001">
        <v>3000</v>
      </c>
      <c r="N451" s="1001">
        <v>12</v>
      </c>
      <c r="O451" s="1001">
        <v>3000</v>
      </c>
      <c r="P451" s="1001">
        <v>12</v>
      </c>
      <c r="Q451" s="1001">
        <v>3000</v>
      </c>
      <c r="R451" s="1001"/>
      <c r="S451" s="1004"/>
      <c r="T451" s="1004"/>
    </row>
    <row r="452" spans="2:20" s="1003" customFormat="1" ht="51" x14ac:dyDescent="0.25">
      <c r="B452" s="1005" t="s">
        <v>126</v>
      </c>
      <c r="C452" s="1100" t="s">
        <v>2518</v>
      </c>
      <c r="D452" s="1025" t="s">
        <v>40</v>
      </c>
      <c r="E452" s="1001"/>
      <c r="F452" s="1001">
        <v>12</v>
      </c>
      <c r="G452" s="1001">
        <v>13000</v>
      </c>
      <c r="H452" s="1001">
        <v>12</v>
      </c>
      <c r="I452" s="1001">
        <v>14000</v>
      </c>
      <c r="J452" s="1001">
        <v>12</v>
      </c>
      <c r="K452" s="1001">
        <v>10000</v>
      </c>
      <c r="L452" s="1001">
        <v>12</v>
      </c>
      <c r="M452" s="1001">
        <v>10000</v>
      </c>
      <c r="N452" s="1001">
        <v>12</v>
      </c>
      <c r="O452" s="1001">
        <v>10000</v>
      </c>
      <c r="P452" s="1001">
        <v>12</v>
      </c>
      <c r="Q452" s="1001">
        <v>10000</v>
      </c>
      <c r="R452" s="1001"/>
      <c r="S452" s="1004"/>
      <c r="T452" s="1004"/>
    </row>
    <row r="453" spans="2:20" s="1003" customFormat="1" ht="76.5" x14ac:dyDescent="0.25">
      <c r="B453" s="1005" t="s">
        <v>3231</v>
      </c>
      <c r="C453" s="1100" t="s">
        <v>2519</v>
      </c>
      <c r="D453" s="1025" t="s">
        <v>40</v>
      </c>
      <c r="E453" s="1001"/>
      <c r="F453" s="1001">
        <v>12</v>
      </c>
      <c r="G453" s="1001">
        <v>23000</v>
      </c>
      <c r="H453" s="1001">
        <v>12</v>
      </c>
      <c r="I453" s="1001">
        <v>25000</v>
      </c>
      <c r="J453" s="1001">
        <v>12</v>
      </c>
      <c r="K453" s="1001">
        <v>15000</v>
      </c>
      <c r="L453" s="1001">
        <v>12</v>
      </c>
      <c r="M453" s="1001">
        <v>15000</v>
      </c>
      <c r="N453" s="1001">
        <v>12</v>
      </c>
      <c r="O453" s="1001">
        <v>15000</v>
      </c>
      <c r="P453" s="1001">
        <v>12</v>
      </c>
      <c r="Q453" s="1001">
        <v>15000</v>
      </c>
      <c r="R453" s="1001"/>
      <c r="S453" s="1004"/>
      <c r="T453" s="1004"/>
    </row>
    <row r="454" spans="2:20" s="1003" customFormat="1" ht="38.25" x14ac:dyDescent="0.25">
      <c r="B454" s="1005" t="s">
        <v>45</v>
      </c>
      <c r="C454" s="1100" t="s">
        <v>2520</v>
      </c>
      <c r="D454" s="1025" t="s">
        <v>40</v>
      </c>
      <c r="E454" s="1001"/>
      <c r="F454" s="1001">
        <v>12</v>
      </c>
      <c r="G454" s="1001">
        <v>15000</v>
      </c>
      <c r="H454" s="1001">
        <v>12</v>
      </c>
      <c r="I454" s="1001">
        <v>15000</v>
      </c>
      <c r="J454" s="1001">
        <v>12</v>
      </c>
      <c r="K454" s="1001">
        <v>20000</v>
      </c>
      <c r="L454" s="1001">
        <v>12</v>
      </c>
      <c r="M454" s="1001">
        <v>20000</v>
      </c>
      <c r="N454" s="1001">
        <v>12</v>
      </c>
      <c r="O454" s="1001">
        <v>20000</v>
      </c>
      <c r="P454" s="1001">
        <v>12</v>
      </c>
      <c r="Q454" s="1001">
        <v>20000</v>
      </c>
      <c r="R454" s="1001"/>
      <c r="S454" s="1004"/>
      <c r="T454" s="1004"/>
    </row>
    <row r="455" spans="2:20" s="1003" customFormat="1" ht="38.25" x14ac:dyDescent="0.25">
      <c r="B455" s="1005" t="s">
        <v>47</v>
      </c>
      <c r="C455" s="1100" t="s">
        <v>2521</v>
      </c>
      <c r="D455" s="1025" t="s">
        <v>40</v>
      </c>
      <c r="E455" s="1001"/>
      <c r="F455" s="1001">
        <v>12</v>
      </c>
      <c r="G455" s="1001">
        <v>3000</v>
      </c>
      <c r="H455" s="1001">
        <v>12</v>
      </c>
      <c r="I455" s="1001">
        <v>3000</v>
      </c>
      <c r="J455" s="1001">
        <v>12</v>
      </c>
      <c r="K455" s="1001">
        <v>10000</v>
      </c>
      <c r="L455" s="1001">
        <v>12</v>
      </c>
      <c r="M455" s="1001">
        <v>10000</v>
      </c>
      <c r="N455" s="1001">
        <v>12</v>
      </c>
      <c r="O455" s="1001">
        <v>10000</v>
      </c>
      <c r="P455" s="1001">
        <v>12</v>
      </c>
      <c r="Q455" s="1001">
        <v>10000</v>
      </c>
      <c r="R455" s="1001"/>
      <c r="S455" s="1004"/>
      <c r="T455" s="1004"/>
    </row>
    <row r="456" spans="2:20" s="1003" customFormat="1" ht="51" x14ac:dyDescent="0.25">
      <c r="B456" s="1005" t="s">
        <v>923</v>
      </c>
      <c r="C456" s="1100" t="s">
        <v>2522</v>
      </c>
      <c r="D456" s="1025" t="s">
        <v>40</v>
      </c>
      <c r="E456" s="1001"/>
      <c r="F456" s="1001">
        <v>12</v>
      </c>
      <c r="G456" s="1001">
        <v>4000</v>
      </c>
      <c r="H456" s="1001">
        <v>12</v>
      </c>
      <c r="I456" s="1001">
        <v>4500</v>
      </c>
      <c r="J456" s="1001">
        <v>12</v>
      </c>
      <c r="K456" s="1001">
        <v>12000</v>
      </c>
      <c r="L456" s="1001">
        <v>12</v>
      </c>
      <c r="M456" s="1001">
        <v>12000</v>
      </c>
      <c r="N456" s="1001">
        <v>12</v>
      </c>
      <c r="O456" s="1001">
        <v>12000</v>
      </c>
      <c r="P456" s="1001">
        <v>12</v>
      </c>
      <c r="Q456" s="1001">
        <v>12000</v>
      </c>
      <c r="R456" s="1001"/>
      <c r="S456" s="1004"/>
      <c r="T456" s="1004"/>
    </row>
    <row r="457" spans="2:20" s="1003" customFormat="1" ht="38.25" x14ac:dyDescent="0.25">
      <c r="B457" s="1005" t="s">
        <v>50</v>
      </c>
      <c r="C457" s="1100" t="s">
        <v>2523</v>
      </c>
      <c r="D457" s="1025" t="s">
        <v>40</v>
      </c>
      <c r="E457" s="1001"/>
      <c r="F457" s="1001">
        <v>12</v>
      </c>
      <c r="G457" s="1001">
        <v>8000</v>
      </c>
      <c r="H457" s="1001">
        <v>12</v>
      </c>
      <c r="I457" s="1001">
        <v>8800</v>
      </c>
      <c r="J457" s="1001">
        <v>12</v>
      </c>
      <c r="K457" s="1001">
        <v>15000</v>
      </c>
      <c r="L457" s="1001">
        <v>12</v>
      </c>
      <c r="M457" s="1001">
        <v>15000</v>
      </c>
      <c r="N457" s="1001">
        <v>12</v>
      </c>
      <c r="O457" s="1001">
        <v>15000</v>
      </c>
      <c r="P457" s="1001">
        <v>12</v>
      </c>
      <c r="Q457" s="1001">
        <v>15000</v>
      </c>
      <c r="R457" s="1001"/>
      <c r="S457" s="1004"/>
      <c r="T457" s="1004"/>
    </row>
    <row r="458" spans="2:20" s="1003" customFormat="1" ht="51" x14ac:dyDescent="0.25">
      <c r="B458" s="1005" t="s">
        <v>52</v>
      </c>
      <c r="C458" s="1100" t="s">
        <v>2524</v>
      </c>
      <c r="D458" s="1025" t="s">
        <v>40</v>
      </c>
      <c r="E458" s="1001"/>
      <c r="F458" s="1001">
        <v>12</v>
      </c>
      <c r="G458" s="1001">
        <v>5390</v>
      </c>
      <c r="H458" s="1001">
        <v>12</v>
      </c>
      <c r="I458" s="1001">
        <v>6000</v>
      </c>
      <c r="J458" s="1001">
        <v>12</v>
      </c>
      <c r="K458" s="1001">
        <v>6000</v>
      </c>
      <c r="L458" s="1001">
        <v>12</v>
      </c>
      <c r="M458" s="1001">
        <v>6000</v>
      </c>
      <c r="N458" s="1001">
        <v>12</v>
      </c>
      <c r="O458" s="1001">
        <v>6000</v>
      </c>
      <c r="P458" s="1001">
        <v>12</v>
      </c>
      <c r="Q458" s="1001">
        <v>6000</v>
      </c>
      <c r="R458" s="1001"/>
      <c r="S458" s="1004"/>
      <c r="T458" s="1004"/>
    </row>
    <row r="459" spans="2:20" s="1003" customFormat="1" ht="76.5" x14ac:dyDescent="0.25">
      <c r="B459" s="1005" t="s">
        <v>782</v>
      </c>
      <c r="C459" s="1100" t="s">
        <v>2525</v>
      </c>
      <c r="D459" s="1025" t="s">
        <v>40</v>
      </c>
      <c r="E459" s="1001"/>
      <c r="F459" s="1001">
        <v>12</v>
      </c>
      <c r="G459" s="1001">
        <v>1500</v>
      </c>
      <c r="H459" s="1001">
        <v>12</v>
      </c>
      <c r="I459" s="1001">
        <v>10000</v>
      </c>
      <c r="J459" s="1001">
        <v>12</v>
      </c>
      <c r="K459" s="1001">
        <v>10000</v>
      </c>
      <c r="L459" s="1001">
        <v>12</v>
      </c>
      <c r="M459" s="1001">
        <v>10000</v>
      </c>
      <c r="N459" s="1001">
        <v>12</v>
      </c>
      <c r="O459" s="1001">
        <v>10000</v>
      </c>
      <c r="P459" s="1001">
        <v>12</v>
      </c>
      <c r="Q459" s="1001">
        <v>10000</v>
      </c>
      <c r="R459" s="1001"/>
      <c r="S459" s="1004"/>
      <c r="T459" s="1004"/>
    </row>
    <row r="460" spans="2:20" s="1003" customFormat="1" ht="63.75" x14ac:dyDescent="0.25">
      <c r="B460" s="1005" t="s">
        <v>3232</v>
      </c>
      <c r="C460" s="1100" t="s">
        <v>2526</v>
      </c>
      <c r="D460" s="1025" t="s">
        <v>40</v>
      </c>
      <c r="E460" s="1001"/>
      <c r="F460" s="1001">
        <v>12</v>
      </c>
      <c r="G460" s="1001">
        <v>1100</v>
      </c>
      <c r="H460" s="1001">
        <v>12</v>
      </c>
      <c r="I460" s="1001">
        <v>1750</v>
      </c>
      <c r="J460" s="1001">
        <v>12</v>
      </c>
      <c r="K460" s="1001">
        <v>5000</v>
      </c>
      <c r="L460" s="1001">
        <v>12</v>
      </c>
      <c r="M460" s="1001">
        <v>5000</v>
      </c>
      <c r="N460" s="1001">
        <v>12</v>
      </c>
      <c r="O460" s="1001">
        <v>5000</v>
      </c>
      <c r="P460" s="1001">
        <v>12</v>
      </c>
      <c r="Q460" s="1001">
        <v>5000</v>
      </c>
      <c r="R460" s="1001"/>
      <c r="S460" s="1004"/>
      <c r="T460" s="1004"/>
    </row>
    <row r="461" spans="2:20" s="1003" customFormat="1" ht="38.25" x14ac:dyDescent="0.25">
      <c r="B461" s="1005" t="s">
        <v>58</v>
      </c>
      <c r="C461" s="1100" t="s">
        <v>2527</v>
      </c>
      <c r="D461" s="1025" t="s">
        <v>40</v>
      </c>
      <c r="E461" s="1001"/>
      <c r="F461" s="1001">
        <v>12</v>
      </c>
      <c r="G461" s="1001">
        <v>11000</v>
      </c>
      <c r="H461" s="1001">
        <v>12</v>
      </c>
      <c r="I461" s="1001">
        <v>15000</v>
      </c>
      <c r="J461" s="1001">
        <v>12</v>
      </c>
      <c r="K461" s="1001">
        <v>10000</v>
      </c>
      <c r="L461" s="1001">
        <v>12</v>
      </c>
      <c r="M461" s="1001">
        <v>10000</v>
      </c>
      <c r="N461" s="1001">
        <v>12</v>
      </c>
      <c r="O461" s="1001">
        <v>10000</v>
      </c>
      <c r="P461" s="1001">
        <v>12</v>
      </c>
      <c r="Q461" s="1001">
        <v>10000</v>
      </c>
      <c r="R461" s="1001"/>
      <c r="S461" s="1004"/>
      <c r="T461" s="1004"/>
    </row>
    <row r="462" spans="2:20" s="1003" customFormat="1" ht="51" x14ac:dyDescent="0.25">
      <c r="B462" s="1005" t="s">
        <v>3233</v>
      </c>
      <c r="C462" s="1100" t="s">
        <v>2529</v>
      </c>
      <c r="D462" s="1025" t="s">
        <v>40</v>
      </c>
      <c r="E462" s="1001"/>
      <c r="F462" s="1001">
        <v>12</v>
      </c>
      <c r="G462" s="1001">
        <v>16000</v>
      </c>
      <c r="H462" s="1001">
        <v>12</v>
      </c>
      <c r="I462" s="1001">
        <v>18000</v>
      </c>
      <c r="J462" s="1001">
        <v>12</v>
      </c>
      <c r="K462" s="1001">
        <v>10000</v>
      </c>
      <c r="L462" s="1001">
        <v>12</v>
      </c>
      <c r="M462" s="1001">
        <v>10000</v>
      </c>
      <c r="N462" s="1001">
        <v>12</v>
      </c>
      <c r="O462" s="1001">
        <v>10000</v>
      </c>
      <c r="P462" s="1001">
        <v>12</v>
      </c>
      <c r="Q462" s="1001">
        <v>10000</v>
      </c>
      <c r="R462" s="1001"/>
      <c r="S462" s="1004"/>
      <c r="T462" s="1004"/>
    </row>
    <row r="463" spans="2:20" s="1003" customFormat="1" ht="51" x14ac:dyDescent="0.25">
      <c r="B463" s="1102" t="s">
        <v>137</v>
      </c>
      <c r="C463" s="1100" t="s">
        <v>2528</v>
      </c>
      <c r="D463" s="1025" t="s">
        <v>40</v>
      </c>
      <c r="E463" s="1001"/>
      <c r="F463" s="1001">
        <v>0</v>
      </c>
      <c r="G463" s="1001">
        <v>0</v>
      </c>
      <c r="H463" s="1001">
        <v>12</v>
      </c>
      <c r="I463" s="1001">
        <v>3000</v>
      </c>
      <c r="J463" s="1001">
        <v>12</v>
      </c>
      <c r="K463" s="1001">
        <v>3000</v>
      </c>
      <c r="L463" s="1001">
        <v>12</v>
      </c>
      <c r="M463" s="1001">
        <v>3000</v>
      </c>
      <c r="N463" s="1001">
        <v>12</v>
      </c>
      <c r="O463" s="1001">
        <v>3000</v>
      </c>
      <c r="P463" s="1001">
        <v>12</v>
      </c>
      <c r="Q463" s="1001">
        <v>3000</v>
      </c>
      <c r="R463" s="1001"/>
      <c r="S463" s="1004"/>
      <c r="T463" s="1004"/>
    </row>
    <row r="464" spans="2:20" s="1003" customFormat="1" ht="38.25" customHeight="1" x14ac:dyDescent="0.25">
      <c r="B464" s="1061" t="s">
        <v>65</v>
      </c>
      <c r="C464" s="999" t="s">
        <v>3234</v>
      </c>
      <c r="D464" s="1015" t="s">
        <v>19</v>
      </c>
      <c r="E464" s="1001">
        <v>70</v>
      </c>
      <c r="F464" s="1001">
        <v>3</v>
      </c>
      <c r="G464" s="2114">
        <f>SUM(G466:G471)</f>
        <v>28000</v>
      </c>
      <c r="H464" s="1001">
        <v>2</v>
      </c>
      <c r="I464" s="2114">
        <f>SUM(I466:I471)</f>
        <v>37500</v>
      </c>
      <c r="J464" s="1001">
        <v>3</v>
      </c>
      <c r="K464" s="2114">
        <f>SUM(K466:K471)</f>
        <v>57000</v>
      </c>
      <c r="L464" s="1001">
        <v>2</v>
      </c>
      <c r="M464" s="2114">
        <f>SUM(M466:M471)</f>
        <v>46500</v>
      </c>
      <c r="N464" s="1001">
        <v>3</v>
      </c>
      <c r="O464" s="2114">
        <f>SUM(O466:O471)</f>
        <v>57000</v>
      </c>
      <c r="P464" s="1001">
        <v>2</v>
      </c>
      <c r="Q464" s="2114">
        <f>SUM(Q466:Q471)</f>
        <v>59500</v>
      </c>
      <c r="R464" s="1001">
        <f>E464+F464+H464+J464+L464+N464</f>
        <v>83</v>
      </c>
      <c r="S464" s="1004"/>
      <c r="T464" s="1004"/>
    </row>
    <row r="465" spans="2:20" s="1003" customFormat="1" ht="38.25" x14ac:dyDescent="0.25">
      <c r="B465" s="1067"/>
      <c r="C465" s="999" t="s">
        <v>3235</v>
      </c>
      <c r="D465" s="1015" t="s">
        <v>19</v>
      </c>
      <c r="E465" s="1001">
        <v>100</v>
      </c>
      <c r="F465" s="1001">
        <v>100</v>
      </c>
      <c r="G465" s="2114"/>
      <c r="H465" s="1001">
        <v>100</v>
      </c>
      <c r="I465" s="2114"/>
      <c r="J465" s="1001">
        <v>100</v>
      </c>
      <c r="K465" s="2114"/>
      <c r="L465" s="1001">
        <v>100</v>
      </c>
      <c r="M465" s="2114"/>
      <c r="N465" s="1001">
        <v>100</v>
      </c>
      <c r="O465" s="2114"/>
      <c r="P465" s="1001">
        <v>100</v>
      </c>
      <c r="Q465" s="2114"/>
      <c r="R465" s="1001">
        <v>100</v>
      </c>
      <c r="S465" s="1004"/>
      <c r="T465" s="1004"/>
    </row>
    <row r="466" spans="2:20" s="1003" customFormat="1" ht="38.25" x14ac:dyDescent="0.25">
      <c r="B466" s="1007" t="s">
        <v>144</v>
      </c>
      <c r="C466" s="999" t="s">
        <v>3408</v>
      </c>
      <c r="D466" s="1015" t="s">
        <v>69</v>
      </c>
      <c r="E466" s="1001"/>
      <c r="F466" s="1001">
        <v>3</v>
      </c>
      <c r="G466" s="1001">
        <v>5000</v>
      </c>
      <c r="H466" s="1001">
        <v>2</v>
      </c>
      <c r="I466" s="1001">
        <v>5000</v>
      </c>
      <c r="J466" s="1001">
        <v>4</v>
      </c>
      <c r="K466" s="1001">
        <v>20000</v>
      </c>
      <c r="L466" s="1001">
        <v>2</v>
      </c>
      <c r="M466" s="1001">
        <v>10000</v>
      </c>
      <c r="N466" s="1001">
        <v>3</v>
      </c>
      <c r="O466" s="1001">
        <v>15000</v>
      </c>
      <c r="P466" s="1001">
        <v>3</v>
      </c>
      <c r="Q466" s="1001">
        <v>15000</v>
      </c>
      <c r="R466" s="1001"/>
      <c r="S466" s="1004"/>
      <c r="T466" s="1004"/>
    </row>
    <row r="467" spans="2:20" s="1003" customFormat="1" ht="25.5" x14ac:dyDescent="0.25">
      <c r="B467" s="998" t="s">
        <v>3236</v>
      </c>
      <c r="C467" s="1000" t="s">
        <v>3409</v>
      </c>
      <c r="D467" s="1025" t="s">
        <v>75</v>
      </c>
      <c r="E467" s="1001"/>
      <c r="F467" s="1001">
        <v>0</v>
      </c>
      <c r="G467" s="1001">
        <v>0</v>
      </c>
      <c r="H467" s="1001">
        <v>2</v>
      </c>
      <c r="I467" s="1001">
        <v>10000</v>
      </c>
      <c r="J467" s="1001">
        <v>4</v>
      </c>
      <c r="K467" s="1001">
        <v>15000</v>
      </c>
      <c r="L467" s="1001">
        <v>10</v>
      </c>
      <c r="M467" s="1001">
        <v>15000</v>
      </c>
      <c r="N467" s="1001">
        <v>10</v>
      </c>
      <c r="O467" s="1001">
        <v>17500</v>
      </c>
      <c r="P467" s="1001">
        <v>3</v>
      </c>
      <c r="Q467" s="1001">
        <v>15000</v>
      </c>
      <c r="R467" s="1001"/>
      <c r="S467" s="1004"/>
      <c r="T467" s="1004"/>
    </row>
    <row r="468" spans="2:20" s="1003" customFormat="1" ht="25.5" x14ac:dyDescent="0.25">
      <c r="B468" s="998" t="s">
        <v>3238</v>
      </c>
      <c r="C468" s="1000" t="s">
        <v>3461</v>
      </c>
      <c r="D468" s="1025" t="s">
        <v>75</v>
      </c>
      <c r="E468" s="1001"/>
      <c r="F468" s="1001">
        <v>3</v>
      </c>
      <c r="G468" s="1001">
        <v>18000</v>
      </c>
      <c r="H468" s="1001">
        <v>3</v>
      </c>
      <c r="I468" s="1001">
        <v>15000</v>
      </c>
      <c r="J468" s="1001">
        <v>2</v>
      </c>
      <c r="K468" s="1001">
        <v>14000</v>
      </c>
      <c r="L468" s="1001">
        <v>2</v>
      </c>
      <c r="M468" s="1001">
        <v>14000</v>
      </c>
      <c r="N468" s="1001">
        <v>2</v>
      </c>
      <c r="O468" s="1001">
        <v>15000</v>
      </c>
      <c r="P468" s="1001">
        <v>3</v>
      </c>
      <c r="Q468" s="1001">
        <v>20000</v>
      </c>
      <c r="R468" s="1001"/>
      <c r="S468" s="1004"/>
      <c r="T468" s="1004"/>
    </row>
    <row r="469" spans="2:20" s="1003" customFormat="1" ht="38.25" x14ac:dyDescent="0.25">
      <c r="B469" s="1007" t="s">
        <v>3240</v>
      </c>
      <c r="C469" s="999" t="s">
        <v>3241</v>
      </c>
      <c r="D469" s="1015" t="s">
        <v>40</v>
      </c>
      <c r="E469" s="1001"/>
      <c r="F469" s="1001">
        <v>0</v>
      </c>
      <c r="G469" s="1001">
        <v>0</v>
      </c>
      <c r="H469" s="1001">
        <v>12</v>
      </c>
      <c r="I469" s="1001">
        <v>1500</v>
      </c>
      <c r="J469" s="1001">
        <v>12</v>
      </c>
      <c r="K469" s="1001">
        <v>2000</v>
      </c>
      <c r="L469" s="1001">
        <v>12</v>
      </c>
      <c r="M469" s="1001">
        <v>2000</v>
      </c>
      <c r="N469" s="1001">
        <v>12</v>
      </c>
      <c r="O469" s="1001">
        <v>3000</v>
      </c>
      <c r="P469" s="1001">
        <v>12</v>
      </c>
      <c r="Q469" s="1001">
        <v>3000</v>
      </c>
      <c r="R469" s="1001"/>
      <c r="S469" s="1004"/>
      <c r="T469" s="1004"/>
    </row>
    <row r="470" spans="2:20" s="1003" customFormat="1" ht="38.25" x14ac:dyDescent="0.25">
      <c r="B470" s="1007" t="s">
        <v>3242</v>
      </c>
      <c r="C470" s="999" t="s">
        <v>3160</v>
      </c>
      <c r="D470" s="1015" t="s">
        <v>40</v>
      </c>
      <c r="E470" s="1001"/>
      <c r="F470" s="1001">
        <v>12</v>
      </c>
      <c r="G470" s="1001">
        <v>3000</v>
      </c>
      <c r="H470" s="1001">
        <v>12</v>
      </c>
      <c r="I470" s="1001">
        <v>3000</v>
      </c>
      <c r="J470" s="1001">
        <v>12</v>
      </c>
      <c r="K470" s="1001">
        <v>2500</v>
      </c>
      <c r="L470" s="1001">
        <v>12</v>
      </c>
      <c r="M470" s="1001">
        <v>2500</v>
      </c>
      <c r="N470" s="1001">
        <v>12</v>
      </c>
      <c r="O470" s="1001">
        <v>3000</v>
      </c>
      <c r="P470" s="1001">
        <v>12</v>
      </c>
      <c r="Q470" s="1001">
        <v>3000</v>
      </c>
      <c r="R470" s="1001"/>
      <c r="S470" s="1004"/>
      <c r="T470" s="1004"/>
    </row>
    <row r="471" spans="2:20" s="1003" customFormat="1" ht="38.25" x14ac:dyDescent="0.25">
      <c r="B471" s="1007" t="s">
        <v>3243</v>
      </c>
      <c r="C471" s="999" t="s">
        <v>3244</v>
      </c>
      <c r="D471" s="1015" t="s">
        <v>40</v>
      </c>
      <c r="E471" s="1001"/>
      <c r="F471" s="1001">
        <v>12</v>
      </c>
      <c r="G471" s="1001">
        <v>2000</v>
      </c>
      <c r="H471" s="1001">
        <v>12</v>
      </c>
      <c r="I471" s="1001">
        <v>3000</v>
      </c>
      <c r="J471" s="1001">
        <v>12</v>
      </c>
      <c r="K471" s="1001">
        <v>3500</v>
      </c>
      <c r="L471" s="1001">
        <v>12</v>
      </c>
      <c r="M471" s="1001">
        <v>3000</v>
      </c>
      <c r="N471" s="1001">
        <v>12</v>
      </c>
      <c r="O471" s="1001">
        <v>3500</v>
      </c>
      <c r="P471" s="1001">
        <v>12</v>
      </c>
      <c r="Q471" s="1001">
        <v>3500</v>
      </c>
      <c r="R471" s="1001"/>
      <c r="S471" s="1004"/>
      <c r="T471" s="1004"/>
    </row>
    <row r="472" spans="2:20" s="1003" customFormat="1" ht="63.75" x14ac:dyDescent="0.25">
      <c r="B472" s="1106" t="s">
        <v>3245</v>
      </c>
      <c r="C472" s="1000" t="s">
        <v>3246</v>
      </c>
      <c r="D472" s="1025" t="s">
        <v>79</v>
      </c>
      <c r="E472" s="1001">
        <v>10</v>
      </c>
      <c r="F472" s="1001">
        <f>F473</f>
        <v>2</v>
      </c>
      <c r="G472" s="1001">
        <f>G473</f>
        <v>4500</v>
      </c>
      <c r="H472" s="1001">
        <f t="shared" ref="H472:Q472" si="53">H473</f>
        <v>2</v>
      </c>
      <c r="I472" s="1001">
        <f t="shared" si="53"/>
        <v>5500</v>
      </c>
      <c r="J472" s="1001">
        <f t="shared" si="53"/>
        <v>2</v>
      </c>
      <c r="K472" s="1001">
        <f t="shared" si="53"/>
        <v>6000</v>
      </c>
      <c r="L472" s="1001">
        <f t="shared" si="53"/>
        <v>2</v>
      </c>
      <c r="M472" s="1001">
        <f t="shared" si="53"/>
        <v>6500</v>
      </c>
      <c r="N472" s="1001">
        <f t="shared" si="53"/>
        <v>2</v>
      </c>
      <c r="O472" s="1001">
        <f t="shared" si="53"/>
        <v>7000</v>
      </c>
      <c r="P472" s="1001">
        <f t="shared" si="53"/>
        <v>2</v>
      </c>
      <c r="Q472" s="1001">
        <f t="shared" si="53"/>
        <v>7500</v>
      </c>
      <c r="R472" s="1001">
        <f>E472+F472+H472+J472+L472+N472</f>
        <v>20</v>
      </c>
      <c r="S472" s="1004"/>
      <c r="T472" s="1004"/>
    </row>
    <row r="473" spans="2:20" s="1003" customFormat="1" ht="102" x14ac:dyDescent="0.25">
      <c r="B473" s="998" t="s">
        <v>80</v>
      </c>
      <c r="C473" s="1000" t="s">
        <v>3247</v>
      </c>
      <c r="D473" s="1025" t="s">
        <v>79</v>
      </c>
      <c r="E473" s="1001"/>
      <c r="F473" s="1001">
        <v>2</v>
      </c>
      <c r="G473" s="1001">
        <v>4500</v>
      </c>
      <c r="H473" s="1001">
        <v>2</v>
      </c>
      <c r="I473" s="1001">
        <v>5500</v>
      </c>
      <c r="J473" s="1001">
        <v>2</v>
      </c>
      <c r="K473" s="1001">
        <v>6000</v>
      </c>
      <c r="L473" s="1001">
        <v>2</v>
      </c>
      <c r="M473" s="1001">
        <v>6500</v>
      </c>
      <c r="N473" s="1001">
        <v>2</v>
      </c>
      <c r="O473" s="1001">
        <v>7000</v>
      </c>
      <c r="P473" s="1001">
        <v>2</v>
      </c>
      <c r="Q473" s="1001">
        <v>7500</v>
      </c>
      <c r="R473" s="1001"/>
      <c r="S473" s="1004"/>
      <c r="T473" s="1004"/>
    </row>
    <row r="474" spans="2:20" s="1003" customFormat="1" ht="48" x14ac:dyDescent="0.25">
      <c r="B474" s="1106" t="s">
        <v>3411</v>
      </c>
      <c r="C474" s="1000" t="s">
        <v>3249</v>
      </c>
      <c r="D474" s="1025" t="s">
        <v>79</v>
      </c>
      <c r="E474" s="1001">
        <v>5</v>
      </c>
      <c r="F474" s="1001">
        <v>1</v>
      </c>
      <c r="G474" s="1001">
        <f>G475</f>
        <v>9000</v>
      </c>
      <c r="H474" s="1001">
        <f t="shared" ref="H474:Q474" si="54">H475</f>
        <v>2</v>
      </c>
      <c r="I474" s="1001">
        <f t="shared" si="54"/>
        <v>10000</v>
      </c>
      <c r="J474" s="1001">
        <f t="shared" si="54"/>
        <v>2</v>
      </c>
      <c r="K474" s="1001">
        <f t="shared" si="54"/>
        <v>11000</v>
      </c>
      <c r="L474" s="1001">
        <f t="shared" si="54"/>
        <v>2</v>
      </c>
      <c r="M474" s="1001">
        <f t="shared" si="54"/>
        <v>12000</v>
      </c>
      <c r="N474" s="1001">
        <f t="shared" si="54"/>
        <v>2</v>
      </c>
      <c r="O474" s="1001">
        <f t="shared" si="54"/>
        <v>13000</v>
      </c>
      <c r="P474" s="1001">
        <f t="shared" si="54"/>
        <v>2</v>
      </c>
      <c r="Q474" s="1001">
        <f t="shared" si="54"/>
        <v>14500</v>
      </c>
      <c r="R474" s="1001">
        <f>E474+F474+H474+J474+L474+N474</f>
        <v>14</v>
      </c>
      <c r="S474" s="1004"/>
      <c r="T474" s="1004"/>
    </row>
    <row r="475" spans="2:20" s="1003" customFormat="1" ht="63.75" x14ac:dyDescent="0.25">
      <c r="B475" s="998" t="s">
        <v>1712</v>
      </c>
      <c r="C475" s="1000" t="s">
        <v>3250</v>
      </c>
      <c r="D475" s="1025"/>
      <c r="E475" s="1001"/>
      <c r="F475" s="1001">
        <v>1</v>
      </c>
      <c r="G475" s="1001">
        <v>9000</v>
      </c>
      <c r="H475" s="1001">
        <v>2</v>
      </c>
      <c r="I475" s="1001">
        <v>10000</v>
      </c>
      <c r="J475" s="1001">
        <v>2</v>
      </c>
      <c r="K475" s="1001">
        <v>11000</v>
      </c>
      <c r="L475" s="1001">
        <v>2</v>
      </c>
      <c r="M475" s="1001">
        <v>12000</v>
      </c>
      <c r="N475" s="1001">
        <v>2</v>
      </c>
      <c r="O475" s="1001">
        <v>13000</v>
      </c>
      <c r="P475" s="1001">
        <v>2</v>
      </c>
      <c r="Q475" s="1001">
        <v>14500</v>
      </c>
      <c r="R475" s="1001"/>
      <c r="S475" s="1004"/>
      <c r="T475" s="1004"/>
    </row>
    <row r="476" spans="2:20" s="1003" customFormat="1" ht="63.75" customHeight="1" x14ac:dyDescent="0.25">
      <c r="B476" s="1065" t="s">
        <v>3251</v>
      </c>
      <c r="C476" s="1000" t="s">
        <v>3252</v>
      </c>
      <c r="D476" s="1025" t="s">
        <v>79</v>
      </c>
      <c r="E476" s="1001">
        <v>5</v>
      </c>
      <c r="F476" s="1001">
        <v>1</v>
      </c>
      <c r="G476" s="2114">
        <f>SUM(G478:G479)</f>
        <v>18900</v>
      </c>
      <c r="H476" s="1001">
        <v>1</v>
      </c>
      <c r="I476" s="2114">
        <f>SUM(I478:I479)</f>
        <v>20000</v>
      </c>
      <c r="J476" s="1001">
        <v>1</v>
      </c>
      <c r="K476" s="2114">
        <f>SUM(K478:K479)</f>
        <v>22000</v>
      </c>
      <c r="L476" s="1001">
        <v>1</v>
      </c>
      <c r="M476" s="2114">
        <f>SUM(M478:M479)</f>
        <v>23000</v>
      </c>
      <c r="N476" s="1001">
        <v>1</v>
      </c>
      <c r="O476" s="2114">
        <f>SUM(O478:O479)</f>
        <v>24000</v>
      </c>
      <c r="P476" s="1001">
        <v>1</v>
      </c>
      <c r="Q476" s="2114">
        <f>SUM(Q478:Q479)</f>
        <v>25000</v>
      </c>
      <c r="R476" s="1001">
        <f>E476+F476+H476+J476+L476+N476</f>
        <v>10</v>
      </c>
      <c r="S476" s="1004"/>
      <c r="T476" s="1004"/>
    </row>
    <row r="477" spans="2:20" s="1003" customFormat="1" ht="38.25" x14ac:dyDescent="0.25">
      <c r="B477" s="1066"/>
      <c r="C477" s="1000" t="s">
        <v>3253</v>
      </c>
      <c r="D477" s="1025" t="s">
        <v>79</v>
      </c>
      <c r="E477" s="1001">
        <v>0</v>
      </c>
      <c r="F477" s="1001">
        <v>0</v>
      </c>
      <c r="G477" s="2114"/>
      <c r="H477" s="1001">
        <v>0</v>
      </c>
      <c r="I477" s="2114"/>
      <c r="J477" s="1001">
        <v>0</v>
      </c>
      <c r="K477" s="2114"/>
      <c r="L477" s="1001">
        <v>0</v>
      </c>
      <c r="M477" s="2114"/>
      <c r="N477" s="1001"/>
      <c r="O477" s="2114"/>
      <c r="P477" s="1001">
        <v>0</v>
      </c>
      <c r="Q477" s="2114"/>
      <c r="R477" s="1001">
        <f>E477+F477+H477+J477+L477+N477</f>
        <v>0</v>
      </c>
      <c r="S477" s="1004"/>
      <c r="T477" s="1004"/>
    </row>
    <row r="478" spans="2:20" s="1003" customFormat="1" ht="38.25" x14ac:dyDescent="0.25">
      <c r="B478" s="998" t="s">
        <v>3254</v>
      </c>
      <c r="C478" s="1000" t="s">
        <v>3255</v>
      </c>
      <c r="D478" s="1025" t="s">
        <v>103</v>
      </c>
      <c r="E478" s="1001"/>
      <c r="F478" s="1001">
        <v>21</v>
      </c>
      <c r="G478" s="1001">
        <v>18900</v>
      </c>
      <c r="H478" s="1001">
        <v>21</v>
      </c>
      <c r="I478" s="1001">
        <v>20000</v>
      </c>
      <c r="J478" s="1001">
        <v>21</v>
      </c>
      <c r="K478" s="1001">
        <v>22000</v>
      </c>
      <c r="L478" s="1001">
        <v>21</v>
      </c>
      <c r="M478" s="1001">
        <v>23000</v>
      </c>
      <c r="N478" s="1001">
        <v>21</v>
      </c>
      <c r="O478" s="1001">
        <v>24000</v>
      </c>
      <c r="P478" s="1001">
        <v>21</v>
      </c>
      <c r="Q478" s="1001">
        <v>25000</v>
      </c>
      <c r="R478" s="1001"/>
      <c r="S478" s="1004"/>
      <c r="T478" s="1004"/>
    </row>
    <row r="479" spans="2:20" s="1003" customFormat="1" ht="51" x14ac:dyDescent="0.25">
      <c r="B479" s="998" t="s">
        <v>3256</v>
      </c>
      <c r="C479" s="1000" t="s">
        <v>3257</v>
      </c>
      <c r="D479" s="1025" t="s">
        <v>103</v>
      </c>
      <c r="E479" s="1001"/>
      <c r="F479" s="1001">
        <v>0</v>
      </c>
      <c r="G479" s="1001">
        <v>0</v>
      </c>
      <c r="H479" s="1001">
        <v>0</v>
      </c>
      <c r="I479" s="1001">
        <v>0</v>
      </c>
      <c r="J479" s="1001">
        <v>0</v>
      </c>
      <c r="K479" s="1001">
        <v>0</v>
      </c>
      <c r="L479" s="1001">
        <v>0</v>
      </c>
      <c r="M479" s="1001">
        <v>0</v>
      </c>
      <c r="N479" s="1001">
        <v>0</v>
      </c>
      <c r="O479" s="1001">
        <v>0</v>
      </c>
      <c r="P479" s="1001">
        <v>0</v>
      </c>
      <c r="Q479" s="1001">
        <v>0</v>
      </c>
      <c r="R479" s="1001"/>
      <c r="S479" s="1004"/>
      <c r="T479" s="1004"/>
    </row>
    <row r="480" spans="2:20" s="1003" customFormat="1" ht="51" x14ac:dyDescent="0.25">
      <c r="B480" s="1106" t="s">
        <v>3420</v>
      </c>
      <c r="C480" s="1000" t="s">
        <v>3386</v>
      </c>
      <c r="D480" s="1025" t="s">
        <v>19</v>
      </c>
      <c r="E480" s="1001">
        <v>100</v>
      </c>
      <c r="F480" s="1001">
        <v>100</v>
      </c>
      <c r="G480" s="1001">
        <f>G481</f>
        <v>53000</v>
      </c>
      <c r="H480" s="1001">
        <v>100</v>
      </c>
      <c r="I480" s="1001">
        <f>I481</f>
        <v>33000</v>
      </c>
      <c r="J480" s="1001">
        <v>100</v>
      </c>
      <c r="K480" s="1001">
        <f>K481</f>
        <v>35000</v>
      </c>
      <c r="L480" s="1001">
        <v>100</v>
      </c>
      <c r="M480" s="1001">
        <f>M481</f>
        <v>38000</v>
      </c>
      <c r="N480" s="1001">
        <v>100</v>
      </c>
      <c r="O480" s="1001">
        <f>O481</f>
        <v>40000</v>
      </c>
      <c r="P480" s="1001">
        <v>100</v>
      </c>
      <c r="Q480" s="1001">
        <f>Q481</f>
        <v>42000</v>
      </c>
      <c r="R480" s="1001">
        <v>100</v>
      </c>
      <c r="S480" s="1004"/>
      <c r="T480" s="1004"/>
    </row>
    <row r="481" spans="2:20" s="1003" customFormat="1" ht="25.5" x14ac:dyDescent="0.25">
      <c r="B481" s="998" t="s">
        <v>3421</v>
      </c>
      <c r="C481" s="1000" t="s">
        <v>3422</v>
      </c>
      <c r="D481" s="1025" t="s">
        <v>40</v>
      </c>
      <c r="E481" s="1001"/>
      <c r="F481" s="1001">
        <v>12</v>
      </c>
      <c r="G481" s="1001">
        <v>53000</v>
      </c>
      <c r="H481" s="1001">
        <v>12</v>
      </c>
      <c r="I481" s="1001">
        <v>33000</v>
      </c>
      <c r="J481" s="1001">
        <v>12</v>
      </c>
      <c r="K481" s="1001">
        <v>35000</v>
      </c>
      <c r="L481" s="1001">
        <v>12</v>
      </c>
      <c r="M481" s="1001">
        <v>38000</v>
      </c>
      <c r="N481" s="1001">
        <v>12</v>
      </c>
      <c r="O481" s="1001">
        <v>40000</v>
      </c>
      <c r="P481" s="1001">
        <v>12</v>
      </c>
      <c r="Q481" s="1001">
        <v>42000</v>
      </c>
      <c r="R481" s="1001"/>
      <c r="S481" s="1004"/>
      <c r="T481" s="1004"/>
    </row>
    <row r="482" spans="2:20" s="1003" customFormat="1" ht="84" x14ac:dyDescent="0.25">
      <c r="B482" s="1106" t="s">
        <v>1743</v>
      </c>
      <c r="C482" s="1000" t="s">
        <v>3265</v>
      </c>
      <c r="D482" s="1025" t="s">
        <v>19</v>
      </c>
      <c r="E482" s="1001">
        <v>50</v>
      </c>
      <c r="F482" s="1001">
        <v>60</v>
      </c>
      <c r="G482" s="1001">
        <f>G483+G484</f>
        <v>56500</v>
      </c>
      <c r="H482" s="1001">
        <v>70</v>
      </c>
      <c r="I482" s="1001">
        <f>I483+I484</f>
        <v>37000</v>
      </c>
      <c r="J482" s="1001">
        <v>80</v>
      </c>
      <c r="K482" s="1001">
        <f>SUM(K483:K484)</f>
        <v>40500</v>
      </c>
      <c r="L482" s="1001">
        <v>90</v>
      </c>
      <c r="M482" s="1001">
        <f>SUM(M483:M484)</f>
        <v>44000</v>
      </c>
      <c r="N482" s="1001">
        <v>95</v>
      </c>
      <c r="O482" s="1001">
        <f>SUM(O483:O484)</f>
        <v>45000</v>
      </c>
      <c r="P482" s="1001">
        <v>21</v>
      </c>
      <c r="Q482" s="1001">
        <f>SUM(Q483:Q484)</f>
        <v>46000</v>
      </c>
      <c r="R482" s="1001">
        <v>100</v>
      </c>
      <c r="S482" s="1004"/>
      <c r="T482" s="1004"/>
    </row>
    <row r="483" spans="2:20" s="1003" customFormat="1" ht="25.5" x14ac:dyDescent="0.25">
      <c r="B483" s="998" t="s">
        <v>3266</v>
      </c>
      <c r="C483" s="1000" t="s">
        <v>3267</v>
      </c>
      <c r="D483" s="1025" t="s">
        <v>103</v>
      </c>
      <c r="E483" s="1001"/>
      <c r="F483" s="1001">
        <v>21</v>
      </c>
      <c r="G483" s="1001">
        <v>46000</v>
      </c>
      <c r="H483" s="1001">
        <v>21</v>
      </c>
      <c r="I483" s="1001">
        <v>25000</v>
      </c>
      <c r="J483" s="1001">
        <v>21</v>
      </c>
      <c r="K483" s="1001">
        <v>27500</v>
      </c>
      <c r="L483" s="1001">
        <v>21</v>
      </c>
      <c r="M483" s="1001">
        <v>29000</v>
      </c>
      <c r="N483" s="1001">
        <v>21</v>
      </c>
      <c r="O483" s="1001">
        <v>30000</v>
      </c>
      <c r="P483" s="1001">
        <v>21</v>
      </c>
      <c r="Q483" s="1001">
        <v>30000</v>
      </c>
      <c r="R483" s="1001"/>
      <c r="S483" s="1004"/>
      <c r="T483" s="1004"/>
    </row>
    <row r="484" spans="2:20" s="1003" customFormat="1" ht="76.5" x14ac:dyDescent="0.25">
      <c r="B484" s="998" t="s">
        <v>3390</v>
      </c>
      <c r="C484" s="1000" t="s">
        <v>3273</v>
      </c>
      <c r="D484" s="1025" t="s">
        <v>103</v>
      </c>
      <c r="E484" s="1001"/>
      <c r="F484" s="1001">
        <v>21</v>
      </c>
      <c r="G484" s="1001">
        <v>10500</v>
      </c>
      <c r="H484" s="1001">
        <v>21</v>
      </c>
      <c r="I484" s="1001">
        <v>12000</v>
      </c>
      <c r="J484" s="1001">
        <v>21</v>
      </c>
      <c r="K484" s="1001">
        <v>13000</v>
      </c>
      <c r="L484" s="1001">
        <v>21</v>
      </c>
      <c r="M484" s="1001">
        <v>15000</v>
      </c>
      <c r="N484" s="1001">
        <v>21</v>
      </c>
      <c r="O484" s="1001">
        <v>15000</v>
      </c>
      <c r="P484" s="1001">
        <v>21</v>
      </c>
      <c r="Q484" s="1001">
        <v>16000</v>
      </c>
      <c r="R484" s="1001"/>
      <c r="S484" s="1004"/>
      <c r="T484" s="1004"/>
    </row>
    <row r="485" spans="2:20" s="1003" customFormat="1" ht="76.5" customHeight="1" x14ac:dyDescent="0.25">
      <c r="B485" s="1063" t="s">
        <v>3425</v>
      </c>
      <c r="C485" s="1000" t="s">
        <v>3274</v>
      </c>
      <c r="D485" s="1025" t="s">
        <v>79</v>
      </c>
      <c r="E485" s="1001">
        <v>1</v>
      </c>
      <c r="F485" s="1001">
        <v>1</v>
      </c>
      <c r="G485" s="1001">
        <f>G486</f>
        <v>6300</v>
      </c>
      <c r="H485" s="1001">
        <v>1</v>
      </c>
      <c r="I485" s="1001">
        <f>I486</f>
        <v>65000</v>
      </c>
      <c r="J485" s="1001">
        <v>1</v>
      </c>
      <c r="K485" s="1001">
        <f>K486</f>
        <v>7000</v>
      </c>
      <c r="L485" s="1001">
        <v>1</v>
      </c>
      <c r="M485" s="1001">
        <f>M486</f>
        <v>8000</v>
      </c>
      <c r="N485" s="1001">
        <v>1</v>
      </c>
      <c r="O485" s="1001">
        <f>O486</f>
        <v>9000</v>
      </c>
      <c r="P485" s="1001">
        <v>1</v>
      </c>
      <c r="Q485" s="1001">
        <f>Q486</f>
        <v>9000</v>
      </c>
      <c r="R485" s="1001">
        <f>E485+F485+H485+J485+L485+N485</f>
        <v>6</v>
      </c>
      <c r="S485" s="1004"/>
      <c r="T485" s="1004"/>
    </row>
    <row r="486" spans="2:20" s="1003" customFormat="1" ht="25.5" x14ac:dyDescent="0.25">
      <c r="B486" s="1008" t="s">
        <v>3277</v>
      </c>
      <c r="C486" s="1000" t="s">
        <v>3278</v>
      </c>
      <c r="D486" s="1025" t="s">
        <v>103</v>
      </c>
      <c r="E486" s="1001"/>
      <c r="F486" s="1001">
        <v>2</v>
      </c>
      <c r="G486" s="1001">
        <v>6300</v>
      </c>
      <c r="H486" s="1001">
        <v>2</v>
      </c>
      <c r="I486" s="1001">
        <v>65000</v>
      </c>
      <c r="J486" s="1001">
        <v>2</v>
      </c>
      <c r="K486" s="1001">
        <v>7000</v>
      </c>
      <c r="L486" s="1001">
        <v>2</v>
      </c>
      <c r="M486" s="1001">
        <v>8000</v>
      </c>
      <c r="N486" s="1001">
        <v>2</v>
      </c>
      <c r="O486" s="1001">
        <v>9000</v>
      </c>
      <c r="P486" s="1001">
        <v>2</v>
      </c>
      <c r="Q486" s="1001">
        <v>9000</v>
      </c>
      <c r="R486" s="1001"/>
      <c r="S486" s="1004"/>
      <c r="T486" s="1004"/>
    </row>
    <row r="487" spans="2:20" s="1003" customFormat="1" ht="63.75" customHeight="1" x14ac:dyDescent="0.25">
      <c r="B487" s="1063" t="s">
        <v>3280</v>
      </c>
      <c r="C487" s="1000" t="s">
        <v>3279</v>
      </c>
      <c r="D487" s="1025" t="s">
        <v>327</v>
      </c>
      <c r="E487" s="1001">
        <v>16</v>
      </c>
      <c r="F487" s="1001">
        <v>20</v>
      </c>
      <c r="G487" s="1001">
        <f>SUM(G488:G489)</f>
        <v>8000</v>
      </c>
      <c r="H487" s="1001">
        <v>24</v>
      </c>
      <c r="I487" s="1001">
        <f>SUM(I488:I489)</f>
        <v>9500</v>
      </c>
      <c r="J487" s="1001">
        <v>28</v>
      </c>
      <c r="K487" s="1001">
        <f>SUM(K488:K489)</f>
        <v>11000</v>
      </c>
      <c r="L487" s="1001">
        <v>32</v>
      </c>
      <c r="M487" s="1001">
        <f>SUM(M488:M489)</f>
        <v>12000</v>
      </c>
      <c r="N487" s="1001">
        <v>36</v>
      </c>
      <c r="O487" s="1001">
        <f>SUM(O488:O489)</f>
        <v>12000</v>
      </c>
      <c r="P487" s="1001">
        <v>40</v>
      </c>
      <c r="Q487" s="1001">
        <f>SUM(Q488:Q489)</f>
        <v>13000</v>
      </c>
      <c r="R487" s="1001">
        <f>N487</f>
        <v>36</v>
      </c>
      <c r="S487" s="1004"/>
      <c r="T487" s="1004"/>
    </row>
    <row r="488" spans="2:20" s="1003" customFormat="1" ht="38.25" x14ac:dyDescent="0.25">
      <c r="B488" s="1008" t="s">
        <v>1298</v>
      </c>
      <c r="C488" s="1000" t="s">
        <v>3281</v>
      </c>
      <c r="D488" s="1025" t="s">
        <v>327</v>
      </c>
      <c r="E488" s="1001"/>
      <c r="F488" s="1001">
        <v>21</v>
      </c>
      <c r="G488" s="1001">
        <v>4000</v>
      </c>
      <c r="H488" s="1001">
        <v>21</v>
      </c>
      <c r="I488" s="1001">
        <v>4500</v>
      </c>
      <c r="J488" s="1001">
        <v>21</v>
      </c>
      <c r="K488" s="1001">
        <v>5000</v>
      </c>
      <c r="L488" s="1001">
        <v>21</v>
      </c>
      <c r="M488" s="1001">
        <v>5500</v>
      </c>
      <c r="N488" s="1001">
        <v>21</v>
      </c>
      <c r="O488" s="1001">
        <v>6000</v>
      </c>
      <c r="P488" s="1001">
        <v>21</v>
      </c>
      <c r="Q488" s="1001">
        <v>6500</v>
      </c>
      <c r="R488" s="1001"/>
      <c r="S488" s="1004"/>
      <c r="T488" s="1004"/>
    </row>
    <row r="489" spans="2:20" s="1003" customFormat="1" ht="38.25" x14ac:dyDescent="0.25">
      <c r="B489" s="1008" t="s">
        <v>3282</v>
      </c>
      <c r="C489" s="1000" t="s">
        <v>3283</v>
      </c>
      <c r="D489" s="1025" t="s">
        <v>327</v>
      </c>
      <c r="E489" s="1001"/>
      <c r="F489" s="1001">
        <v>21</v>
      </c>
      <c r="G489" s="1001">
        <v>4000</v>
      </c>
      <c r="H489" s="1001">
        <v>21</v>
      </c>
      <c r="I489" s="1001">
        <v>5000</v>
      </c>
      <c r="J489" s="1001">
        <v>21</v>
      </c>
      <c r="K489" s="1001">
        <v>6000</v>
      </c>
      <c r="L489" s="1001">
        <v>21</v>
      </c>
      <c r="M489" s="1001">
        <v>6500</v>
      </c>
      <c r="N489" s="1001">
        <v>21</v>
      </c>
      <c r="O489" s="1001">
        <v>6000</v>
      </c>
      <c r="P489" s="1001">
        <v>21</v>
      </c>
      <c r="Q489" s="1001">
        <v>6500</v>
      </c>
      <c r="R489" s="1001"/>
      <c r="S489" s="1004"/>
      <c r="T489" s="1004"/>
    </row>
    <row r="490" spans="2:20" s="1003" customFormat="1" ht="63.75" x14ac:dyDescent="0.25">
      <c r="B490" s="998" t="s">
        <v>3284</v>
      </c>
      <c r="C490" s="1009" t="s">
        <v>3285</v>
      </c>
      <c r="D490" s="1025" t="s">
        <v>364</v>
      </c>
      <c r="E490" s="1001">
        <v>100</v>
      </c>
      <c r="F490" s="1001">
        <v>0</v>
      </c>
      <c r="G490" s="1001">
        <f>G491</f>
        <v>0</v>
      </c>
      <c r="H490" s="1001">
        <v>80</v>
      </c>
      <c r="I490" s="1001">
        <f>I491</f>
        <v>5000</v>
      </c>
      <c r="J490" s="1001">
        <v>70</v>
      </c>
      <c r="K490" s="1001">
        <f>K491</f>
        <v>7000</v>
      </c>
      <c r="L490" s="1001">
        <v>60</v>
      </c>
      <c r="M490" s="1001">
        <f>M491</f>
        <v>8000</v>
      </c>
      <c r="N490" s="1001">
        <v>50</v>
      </c>
      <c r="O490" s="1001">
        <f>O491</f>
        <v>10000</v>
      </c>
      <c r="P490" s="1001">
        <v>50</v>
      </c>
      <c r="Q490" s="1001">
        <f>Q491</f>
        <v>12000</v>
      </c>
      <c r="R490" s="1001">
        <f>N490</f>
        <v>50</v>
      </c>
      <c r="S490" s="1004"/>
      <c r="T490" s="1004"/>
    </row>
    <row r="491" spans="2:20" s="1003" customFormat="1" ht="63.75" x14ac:dyDescent="0.25">
      <c r="B491" s="998" t="s">
        <v>3286</v>
      </c>
      <c r="C491" s="1009" t="s">
        <v>3287</v>
      </c>
      <c r="D491" s="1025" t="s">
        <v>100</v>
      </c>
      <c r="E491" s="1001"/>
      <c r="F491" s="1001">
        <v>0</v>
      </c>
      <c r="G491" s="1001">
        <v>0</v>
      </c>
      <c r="H491" s="1001">
        <v>42</v>
      </c>
      <c r="I491" s="1001">
        <v>5000</v>
      </c>
      <c r="J491" s="1001">
        <v>84</v>
      </c>
      <c r="K491" s="1001">
        <v>7000</v>
      </c>
      <c r="L491" s="1001">
        <v>84</v>
      </c>
      <c r="M491" s="1001">
        <v>8000</v>
      </c>
      <c r="N491" s="1001">
        <v>84</v>
      </c>
      <c r="O491" s="1001">
        <v>10000</v>
      </c>
      <c r="P491" s="1001">
        <v>84</v>
      </c>
      <c r="Q491" s="1001">
        <v>12000</v>
      </c>
      <c r="R491" s="1001"/>
      <c r="S491" s="1004"/>
      <c r="T491" s="1004"/>
    </row>
    <row r="492" spans="2:20" s="1003" customFormat="1" ht="48" x14ac:dyDescent="0.25">
      <c r="B492" s="1106" t="s">
        <v>3289</v>
      </c>
      <c r="C492" s="1009" t="s">
        <v>3288</v>
      </c>
      <c r="D492" s="1025" t="s">
        <v>100</v>
      </c>
      <c r="E492" s="1001">
        <v>70</v>
      </c>
      <c r="F492" s="1001">
        <v>70</v>
      </c>
      <c r="G492" s="1001">
        <f t="shared" ref="G492:Q492" si="55">G493</f>
        <v>12000</v>
      </c>
      <c r="H492" s="1001">
        <v>70</v>
      </c>
      <c r="I492" s="1001">
        <f t="shared" si="55"/>
        <v>13500</v>
      </c>
      <c r="J492" s="1001">
        <v>70</v>
      </c>
      <c r="K492" s="1001">
        <f t="shared" si="55"/>
        <v>14000</v>
      </c>
      <c r="L492" s="1001">
        <v>70</v>
      </c>
      <c r="M492" s="1001">
        <f t="shared" si="55"/>
        <v>15000</v>
      </c>
      <c r="N492" s="1001">
        <v>70</v>
      </c>
      <c r="O492" s="1001">
        <f t="shared" si="55"/>
        <v>15000</v>
      </c>
      <c r="P492" s="1001">
        <v>70</v>
      </c>
      <c r="Q492" s="1001">
        <f t="shared" si="55"/>
        <v>16000</v>
      </c>
      <c r="R492" s="1001">
        <f>F492+H492+J492+L492+N492</f>
        <v>350</v>
      </c>
      <c r="S492" s="1004"/>
      <c r="T492" s="1004"/>
    </row>
    <row r="493" spans="2:20" s="1003" customFormat="1" ht="76.5" x14ac:dyDescent="0.25">
      <c r="B493" s="998" t="s">
        <v>894</v>
      </c>
      <c r="C493" s="1009" t="s">
        <v>3290</v>
      </c>
      <c r="D493" s="1025" t="s">
        <v>100</v>
      </c>
      <c r="E493" s="1001"/>
      <c r="F493" s="1001">
        <v>70</v>
      </c>
      <c r="G493" s="1001">
        <v>12000</v>
      </c>
      <c r="H493" s="1001">
        <v>70</v>
      </c>
      <c r="I493" s="1001">
        <v>13500</v>
      </c>
      <c r="J493" s="1001">
        <v>70</v>
      </c>
      <c r="K493" s="1001">
        <v>14000</v>
      </c>
      <c r="L493" s="1001">
        <v>70</v>
      </c>
      <c r="M493" s="1001">
        <v>15000</v>
      </c>
      <c r="N493" s="1001">
        <v>70</v>
      </c>
      <c r="O493" s="1001">
        <v>15000</v>
      </c>
      <c r="P493" s="1001">
        <v>70</v>
      </c>
      <c r="Q493" s="1001">
        <v>16000</v>
      </c>
      <c r="R493" s="1001"/>
      <c r="S493" s="1004"/>
      <c r="T493" s="1004"/>
    </row>
    <row r="494" spans="2:20" s="1003" customFormat="1" ht="60" x14ac:dyDescent="0.25">
      <c r="B494" s="1063" t="s">
        <v>3292</v>
      </c>
      <c r="C494" s="1000" t="s">
        <v>3291</v>
      </c>
      <c r="D494" s="1025" t="s">
        <v>19</v>
      </c>
      <c r="E494" s="1001">
        <v>75</v>
      </c>
      <c r="F494" s="1001">
        <v>77</v>
      </c>
      <c r="G494" s="1001">
        <f>G495</f>
        <v>3000</v>
      </c>
      <c r="H494" s="1001"/>
      <c r="I494" s="1001">
        <f>I495</f>
        <v>0</v>
      </c>
      <c r="J494" s="1001"/>
      <c r="K494" s="1001">
        <f>K495</f>
        <v>0</v>
      </c>
      <c r="L494" s="1001">
        <v>80</v>
      </c>
      <c r="M494" s="1001">
        <f>M495</f>
        <v>28500</v>
      </c>
      <c r="N494" s="1001"/>
      <c r="O494" s="1001">
        <f>O495</f>
        <v>0</v>
      </c>
      <c r="P494" s="1001"/>
      <c r="Q494" s="1001">
        <f>Q495</f>
        <v>4500</v>
      </c>
      <c r="R494" s="1001">
        <f>L494</f>
        <v>80</v>
      </c>
      <c r="S494" s="1004"/>
      <c r="T494" s="1004"/>
    </row>
    <row r="495" spans="2:20" s="1003" customFormat="1" ht="38.25" x14ac:dyDescent="0.25">
      <c r="B495" s="1008" t="s">
        <v>3293</v>
      </c>
      <c r="C495" s="1000" t="s">
        <v>3294</v>
      </c>
      <c r="D495" s="1025" t="s">
        <v>103</v>
      </c>
      <c r="E495" s="1001"/>
      <c r="F495" s="1001">
        <v>3</v>
      </c>
      <c r="G495" s="1001">
        <v>3000</v>
      </c>
      <c r="H495" s="1001"/>
      <c r="I495" s="1001"/>
      <c r="J495" s="1001"/>
      <c r="K495" s="1001"/>
      <c r="L495" s="1001">
        <v>19</v>
      </c>
      <c r="M495" s="1001">
        <f>L495*1500</f>
        <v>28500</v>
      </c>
      <c r="N495" s="1001"/>
      <c r="O495" s="1001"/>
      <c r="P495" s="1001">
        <v>3</v>
      </c>
      <c r="Q495" s="1001">
        <f>P495*1500</f>
        <v>4500</v>
      </c>
      <c r="R495" s="1001"/>
      <c r="S495" s="1004"/>
      <c r="T495" s="1004"/>
    </row>
    <row r="496" spans="2:20" s="1003" customFormat="1" ht="60" x14ac:dyDescent="0.25">
      <c r="B496" s="1063" t="s">
        <v>3296</v>
      </c>
      <c r="C496" s="1000" t="s">
        <v>3295</v>
      </c>
      <c r="D496" s="1025" t="s">
        <v>327</v>
      </c>
      <c r="E496" s="1001">
        <v>21</v>
      </c>
      <c r="F496" s="1001">
        <f>F497</f>
        <v>21</v>
      </c>
      <c r="G496" s="1001">
        <f t="shared" ref="G496:Q496" si="56">G497</f>
        <v>6000</v>
      </c>
      <c r="H496" s="1001">
        <f t="shared" si="56"/>
        <v>21</v>
      </c>
      <c r="I496" s="1001">
        <f t="shared" si="56"/>
        <v>7000</v>
      </c>
      <c r="J496" s="1001">
        <f t="shared" si="56"/>
        <v>21</v>
      </c>
      <c r="K496" s="1001">
        <f t="shared" si="56"/>
        <v>8000</v>
      </c>
      <c r="L496" s="1001">
        <f t="shared" si="56"/>
        <v>21</v>
      </c>
      <c r="M496" s="1001">
        <f t="shared" si="56"/>
        <v>9000</v>
      </c>
      <c r="N496" s="1001">
        <f t="shared" si="56"/>
        <v>21</v>
      </c>
      <c r="O496" s="1001">
        <f t="shared" si="56"/>
        <v>9000</v>
      </c>
      <c r="P496" s="1001">
        <f t="shared" si="56"/>
        <v>21</v>
      </c>
      <c r="Q496" s="1001">
        <f t="shared" si="56"/>
        <v>9500</v>
      </c>
      <c r="R496" s="1001">
        <f>N496</f>
        <v>21</v>
      </c>
      <c r="S496" s="1004"/>
      <c r="T496" s="1004"/>
    </row>
    <row r="497" spans="2:23" s="1003" customFormat="1" x14ac:dyDescent="0.25">
      <c r="B497" s="1008" t="s">
        <v>383</v>
      </c>
      <c r="C497" s="1000" t="s">
        <v>3297</v>
      </c>
      <c r="D497" s="1025"/>
      <c r="E497" s="1001"/>
      <c r="F497" s="1001">
        <v>21</v>
      </c>
      <c r="G497" s="1001">
        <v>6000</v>
      </c>
      <c r="H497" s="1001">
        <v>21</v>
      </c>
      <c r="I497" s="1001">
        <v>7000</v>
      </c>
      <c r="J497" s="1001">
        <v>21</v>
      </c>
      <c r="K497" s="1001">
        <v>8000</v>
      </c>
      <c r="L497" s="1001">
        <v>21</v>
      </c>
      <c r="M497" s="1001">
        <v>9000</v>
      </c>
      <c r="N497" s="1001">
        <v>21</v>
      </c>
      <c r="O497" s="1001">
        <v>9000</v>
      </c>
      <c r="P497" s="1001">
        <v>21</v>
      </c>
      <c r="Q497" s="1001">
        <v>9500</v>
      </c>
      <c r="R497" s="1001"/>
      <c r="S497" s="1004"/>
      <c r="T497" s="1004"/>
    </row>
    <row r="498" spans="2:23" s="1003" customFormat="1" x14ac:dyDescent="0.25">
      <c r="B498" s="1027" t="s">
        <v>2651</v>
      </c>
      <c r="C498" s="1000"/>
      <c r="D498" s="1025"/>
      <c r="E498" s="1000"/>
      <c r="F498" s="1000"/>
      <c r="G498" s="1012">
        <f>G496+G494+G492+G490+G487+G485+G482+G480+G476+G474+G472+G464+G450</f>
        <v>307190</v>
      </c>
      <c r="H498" s="1000"/>
      <c r="I498" s="1012">
        <f>I496+I494+I492+I490+I487+I485+I482+I480+I476+I474+I472+I464+I450</f>
        <v>368150</v>
      </c>
      <c r="J498" s="1000"/>
      <c r="K498" s="1012">
        <f>K496+K494+K492+K490+K487+K485+K482+K480+K476+K474+K472+K464+K450</f>
        <v>355700</v>
      </c>
      <c r="L498" s="1000"/>
      <c r="M498" s="1012">
        <f>M496+M494+M492+M490+M487+M485+M482+M480+M476+M474+M472+M464+M450</f>
        <v>388800</v>
      </c>
      <c r="N498" s="1000"/>
      <c r="O498" s="1012">
        <f>O496+O494+O492+O490+O487+O485+O482+O480+O476+O474+O472+O464+O450</f>
        <v>379300</v>
      </c>
      <c r="P498" s="1000"/>
      <c r="Q498" s="1012">
        <f>Q496+Q494+Q492+Q490+Q487+Q485+Q482+Q480+Q476+Q474+Q472+Q464+Q450</f>
        <v>397900</v>
      </c>
      <c r="R498" s="1000"/>
      <c r="S498" s="1013"/>
      <c r="T498" s="1013"/>
    </row>
    <row r="499" spans="2:23" s="1003" customFormat="1" x14ac:dyDescent="0.25">
      <c r="B499" s="1005"/>
      <c r="C499" s="1100"/>
      <c r="D499" s="1000"/>
      <c r="E499" s="1001"/>
      <c r="F499" s="1001"/>
      <c r="G499" s="1001"/>
      <c r="H499" s="1001"/>
      <c r="I499" s="1001"/>
      <c r="J499" s="1001"/>
      <c r="K499" s="1001"/>
      <c r="L499" s="1001"/>
      <c r="M499" s="1001"/>
      <c r="N499" s="1001"/>
      <c r="O499" s="1001"/>
      <c r="P499" s="1001"/>
      <c r="Q499" s="1001"/>
      <c r="R499" s="1001"/>
      <c r="S499" s="1004"/>
      <c r="T499" s="1004"/>
    </row>
    <row r="500" spans="2:23" s="1003" customFormat="1" x14ac:dyDescent="0.25">
      <c r="B500" s="1167" t="s">
        <v>3471</v>
      </c>
      <c r="C500" s="1100"/>
      <c r="D500" s="1000"/>
      <c r="E500" s="1001"/>
      <c r="F500" s="1001"/>
      <c r="G500" s="1001"/>
      <c r="H500" s="1001"/>
      <c r="I500" s="1001"/>
      <c r="J500" s="1001"/>
      <c r="K500" s="1001"/>
      <c r="L500" s="1001"/>
      <c r="M500" s="1001"/>
      <c r="N500" s="1001"/>
      <c r="O500" s="1001"/>
      <c r="P500" s="1001"/>
      <c r="Q500" s="1001"/>
      <c r="R500" s="1001"/>
      <c r="S500" s="1004"/>
      <c r="T500" s="1004"/>
    </row>
    <row r="501" spans="2:23" s="1003" customFormat="1" ht="51" customHeight="1" x14ac:dyDescent="0.25">
      <c r="B501" s="998"/>
      <c r="C501" s="999" t="s">
        <v>3228</v>
      </c>
      <c r="D501" s="1000" t="s">
        <v>19</v>
      </c>
      <c r="E501" s="1001">
        <v>90</v>
      </c>
      <c r="F501" s="1001">
        <v>93</v>
      </c>
      <c r="G501" s="1001"/>
      <c r="H501" s="1001">
        <v>94</v>
      </c>
      <c r="I501" s="1001"/>
      <c r="J501" s="1001">
        <v>95</v>
      </c>
      <c r="K501" s="1001"/>
      <c r="L501" s="1001">
        <v>96</v>
      </c>
      <c r="M501" s="1001"/>
      <c r="N501" s="1001">
        <v>97</v>
      </c>
      <c r="O501" s="1001"/>
      <c r="P501" s="1001">
        <v>98</v>
      </c>
      <c r="Q501" s="1001"/>
      <c r="R501" s="1001">
        <v>97</v>
      </c>
      <c r="S501" s="1002"/>
      <c r="T501" s="1002"/>
    </row>
    <row r="502" spans="2:23" s="1003" customFormat="1" ht="63.75" x14ac:dyDescent="0.25">
      <c r="B502" s="1106" t="s">
        <v>3229</v>
      </c>
      <c r="C502" s="1000" t="s">
        <v>1488</v>
      </c>
      <c r="D502" s="1000" t="s">
        <v>19</v>
      </c>
      <c r="E502" s="1001">
        <v>100</v>
      </c>
      <c r="F502" s="1001">
        <v>100</v>
      </c>
      <c r="G502" s="1001">
        <f>SUM(G503:G515)</f>
        <v>74900</v>
      </c>
      <c r="H502" s="1001">
        <v>100</v>
      </c>
      <c r="I502" s="1001">
        <f>SUM(I503:I515)</f>
        <v>99000</v>
      </c>
      <c r="J502" s="1001">
        <v>100</v>
      </c>
      <c r="K502" s="1001">
        <f>SUM(K503:K515)</f>
        <v>108900</v>
      </c>
      <c r="L502" s="1001">
        <v>100</v>
      </c>
      <c r="M502" s="1001">
        <f>SUM(M503:M515)</f>
        <v>119790</v>
      </c>
      <c r="N502" s="1001">
        <v>100</v>
      </c>
      <c r="O502" s="1001">
        <f>SUM(O503:O515)</f>
        <v>131767</v>
      </c>
      <c r="P502" s="1001">
        <v>100</v>
      </c>
      <c r="Q502" s="1001">
        <f>SUM(Q503:Q515)</f>
        <v>144938.1</v>
      </c>
      <c r="R502" s="1001">
        <v>100</v>
      </c>
      <c r="S502" s="1004"/>
      <c r="T502" s="1004"/>
      <c r="V502" s="1030"/>
      <c r="W502" s="1030"/>
    </row>
    <row r="503" spans="2:23" s="1003" customFormat="1" ht="25.5" x14ac:dyDescent="0.25">
      <c r="B503" s="998" t="s">
        <v>124</v>
      </c>
      <c r="C503" s="1100" t="s">
        <v>3230</v>
      </c>
      <c r="D503" s="1000" t="s">
        <v>40</v>
      </c>
      <c r="E503" s="1001"/>
      <c r="F503" s="1001">
        <v>12</v>
      </c>
      <c r="G503" s="1001">
        <v>800</v>
      </c>
      <c r="H503" s="1001">
        <v>12</v>
      </c>
      <c r="I503" s="1001">
        <v>1000</v>
      </c>
      <c r="J503" s="1001">
        <v>12</v>
      </c>
      <c r="K503" s="1001">
        <v>1100</v>
      </c>
      <c r="L503" s="1001">
        <v>12</v>
      </c>
      <c r="M503" s="1001">
        <v>1210</v>
      </c>
      <c r="N503" s="1001">
        <v>12</v>
      </c>
      <c r="O503" s="1001">
        <v>1331</v>
      </c>
      <c r="P503" s="1001">
        <v>12</v>
      </c>
      <c r="Q503" s="1001">
        <v>1464.1</v>
      </c>
      <c r="R503" s="1001"/>
      <c r="S503" s="1004"/>
      <c r="T503" s="1004"/>
      <c r="V503" s="1031"/>
    </row>
    <row r="504" spans="2:23" s="1003" customFormat="1" ht="51" x14ac:dyDescent="0.25">
      <c r="B504" s="1005" t="s">
        <v>126</v>
      </c>
      <c r="C504" s="1100" t="s">
        <v>2518</v>
      </c>
      <c r="D504" s="1000" t="s">
        <v>40</v>
      </c>
      <c r="E504" s="1001"/>
      <c r="F504" s="1001">
        <v>12</v>
      </c>
      <c r="G504" s="1001">
        <v>18000</v>
      </c>
      <c r="H504" s="1001">
        <v>12</v>
      </c>
      <c r="I504" s="1001">
        <v>18000</v>
      </c>
      <c r="J504" s="1001">
        <v>12</v>
      </c>
      <c r="K504" s="1001">
        <v>19800</v>
      </c>
      <c r="L504" s="1001">
        <v>12</v>
      </c>
      <c r="M504" s="1001">
        <v>21780</v>
      </c>
      <c r="N504" s="1001">
        <v>12</v>
      </c>
      <c r="O504" s="1001">
        <v>23958</v>
      </c>
      <c r="P504" s="1001">
        <v>12</v>
      </c>
      <c r="Q504" s="1001">
        <v>26353</v>
      </c>
      <c r="R504" s="1001"/>
      <c r="S504" s="1004"/>
      <c r="T504" s="1004"/>
    </row>
    <row r="505" spans="2:23" s="1003" customFormat="1" ht="76.5" x14ac:dyDescent="0.25">
      <c r="B505" s="1005" t="s">
        <v>3231</v>
      </c>
      <c r="C505" s="1100" t="s">
        <v>2519</v>
      </c>
      <c r="D505" s="1000" t="s">
        <v>40</v>
      </c>
      <c r="E505" s="1001"/>
      <c r="F505" s="1001">
        <v>12</v>
      </c>
      <c r="G505" s="1001">
        <v>16700</v>
      </c>
      <c r="H505" s="1001">
        <v>12</v>
      </c>
      <c r="I505" s="1001">
        <v>20000</v>
      </c>
      <c r="J505" s="1001">
        <v>12</v>
      </c>
      <c r="K505" s="1001">
        <v>22000</v>
      </c>
      <c r="L505" s="1001">
        <v>12</v>
      </c>
      <c r="M505" s="1001">
        <v>24200</v>
      </c>
      <c r="N505" s="1001">
        <v>12</v>
      </c>
      <c r="O505" s="1001">
        <v>26620</v>
      </c>
      <c r="P505" s="1001">
        <v>12</v>
      </c>
      <c r="Q505" s="1001">
        <v>29282</v>
      </c>
      <c r="R505" s="1001"/>
      <c r="S505" s="1004"/>
      <c r="T505" s="1004"/>
      <c r="U505" s="1030"/>
    </row>
    <row r="506" spans="2:23" s="1003" customFormat="1" ht="38.25" x14ac:dyDescent="0.25">
      <c r="B506" s="1005" t="s">
        <v>45</v>
      </c>
      <c r="C506" s="1100" t="s">
        <v>2520</v>
      </c>
      <c r="D506" s="1000" t="s">
        <v>40</v>
      </c>
      <c r="E506" s="1001"/>
      <c r="F506" s="1001">
        <v>12</v>
      </c>
      <c r="G506" s="1001">
        <v>17000</v>
      </c>
      <c r="H506" s="1001">
        <v>12</v>
      </c>
      <c r="I506" s="1001">
        <v>20000</v>
      </c>
      <c r="J506" s="1001">
        <v>12</v>
      </c>
      <c r="K506" s="1001">
        <v>22000</v>
      </c>
      <c r="L506" s="1001">
        <v>12</v>
      </c>
      <c r="M506" s="1001">
        <v>24200</v>
      </c>
      <c r="N506" s="1001">
        <v>12</v>
      </c>
      <c r="O506" s="1001">
        <v>26620</v>
      </c>
      <c r="P506" s="1001">
        <v>12</v>
      </c>
      <c r="Q506" s="1001">
        <v>29282</v>
      </c>
      <c r="R506" s="1001"/>
      <c r="S506" s="1004"/>
      <c r="T506" s="1004"/>
    </row>
    <row r="507" spans="2:23" s="1003" customFormat="1" ht="38.25" x14ac:dyDescent="0.25">
      <c r="B507" s="1005" t="s">
        <v>47</v>
      </c>
      <c r="C507" s="1100" t="s">
        <v>2521</v>
      </c>
      <c r="D507" s="1000" t="s">
        <v>40</v>
      </c>
      <c r="E507" s="1001"/>
      <c r="F507" s="1001">
        <v>12</v>
      </c>
      <c r="G507" s="1001">
        <v>1200</v>
      </c>
      <c r="H507" s="1001">
        <v>12</v>
      </c>
      <c r="I507" s="1001">
        <v>3500</v>
      </c>
      <c r="J507" s="1001">
        <v>12</v>
      </c>
      <c r="K507" s="1001">
        <v>3850</v>
      </c>
      <c r="L507" s="1001">
        <v>12</v>
      </c>
      <c r="M507" s="1001">
        <v>4235</v>
      </c>
      <c r="N507" s="1001">
        <v>12</v>
      </c>
      <c r="O507" s="1001">
        <v>4658</v>
      </c>
      <c r="P507" s="1001">
        <v>12</v>
      </c>
      <c r="Q507" s="1001">
        <v>5123</v>
      </c>
      <c r="R507" s="1001"/>
      <c r="S507" s="1004"/>
      <c r="T507" s="1004"/>
    </row>
    <row r="508" spans="2:23" s="1003" customFormat="1" ht="51" x14ac:dyDescent="0.25">
      <c r="B508" s="1005" t="s">
        <v>923</v>
      </c>
      <c r="C508" s="1100" t="s">
        <v>2522</v>
      </c>
      <c r="D508" s="1000" t="s">
        <v>40</v>
      </c>
      <c r="E508" s="1001"/>
      <c r="F508" s="1001">
        <v>12</v>
      </c>
      <c r="G508" s="1001">
        <v>1500</v>
      </c>
      <c r="H508" s="1001">
        <v>12</v>
      </c>
      <c r="I508" s="1001">
        <v>3500</v>
      </c>
      <c r="J508" s="1001">
        <v>12</v>
      </c>
      <c r="K508" s="1001">
        <v>3850</v>
      </c>
      <c r="L508" s="1001">
        <v>12</v>
      </c>
      <c r="M508" s="1001">
        <v>4235</v>
      </c>
      <c r="N508" s="1001">
        <v>12</v>
      </c>
      <c r="O508" s="1001">
        <v>4658</v>
      </c>
      <c r="P508" s="1001">
        <v>12</v>
      </c>
      <c r="Q508" s="1001">
        <v>5123</v>
      </c>
      <c r="R508" s="1001"/>
      <c r="S508" s="1004"/>
      <c r="T508" s="1004"/>
    </row>
    <row r="509" spans="2:23" s="1003" customFormat="1" ht="38.25" x14ac:dyDescent="0.25">
      <c r="B509" s="1005" t="s">
        <v>50</v>
      </c>
      <c r="C509" s="1100" t="s">
        <v>2523</v>
      </c>
      <c r="D509" s="1000" t="s">
        <v>40</v>
      </c>
      <c r="E509" s="1001"/>
      <c r="F509" s="1001">
        <v>12</v>
      </c>
      <c r="G509" s="1001">
        <v>6000</v>
      </c>
      <c r="H509" s="1001">
        <v>12</v>
      </c>
      <c r="I509" s="1001">
        <v>7500</v>
      </c>
      <c r="J509" s="1001">
        <v>12</v>
      </c>
      <c r="K509" s="1001">
        <v>8250</v>
      </c>
      <c r="L509" s="1001">
        <v>12</v>
      </c>
      <c r="M509" s="1001">
        <v>9075</v>
      </c>
      <c r="N509" s="1001">
        <v>12</v>
      </c>
      <c r="O509" s="1001">
        <v>9982</v>
      </c>
      <c r="P509" s="1001">
        <v>12</v>
      </c>
      <c r="Q509" s="1001">
        <v>10980</v>
      </c>
      <c r="R509" s="1001"/>
      <c r="S509" s="1004"/>
      <c r="T509" s="1004"/>
      <c r="U509" s="1030"/>
      <c r="V509" s="1031"/>
    </row>
    <row r="510" spans="2:23" s="1003" customFormat="1" ht="51" x14ac:dyDescent="0.25">
      <c r="B510" s="1005" t="s">
        <v>52</v>
      </c>
      <c r="C510" s="1100" t="s">
        <v>2524</v>
      </c>
      <c r="D510" s="1000" t="s">
        <v>40</v>
      </c>
      <c r="E510" s="1001"/>
      <c r="F510" s="1001">
        <v>12</v>
      </c>
      <c r="G510" s="1001">
        <v>3000</v>
      </c>
      <c r="H510" s="1001">
        <v>12</v>
      </c>
      <c r="I510" s="1001">
        <v>4000</v>
      </c>
      <c r="J510" s="1001">
        <v>12</v>
      </c>
      <c r="K510" s="1001">
        <v>4400</v>
      </c>
      <c r="L510" s="1001">
        <v>12</v>
      </c>
      <c r="M510" s="1001">
        <v>4840</v>
      </c>
      <c r="N510" s="1001">
        <v>12</v>
      </c>
      <c r="O510" s="1001">
        <v>5324</v>
      </c>
      <c r="P510" s="1001">
        <v>12</v>
      </c>
      <c r="Q510" s="1001">
        <v>5856</v>
      </c>
      <c r="R510" s="1001"/>
      <c r="S510" s="1004"/>
      <c r="T510" s="1004"/>
      <c r="U510" s="1031"/>
    </row>
    <row r="511" spans="2:23" s="1003" customFormat="1" ht="76.5" x14ac:dyDescent="0.25">
      <c r="B511" s="1005" t="s">
        <v>782</v>
      </c>
      <c r="C511" s="1100" t="s">
        <v>2525</v>
      </c>
      <c r="D511" s="1000" t="s">
        <v>40</v>
      </c>
      <c r="E511" s="1001"/>
      <c r="F511" s="1001">
        <v>12</v>
      </c>
      <c r="G511" s="1001">
        <v>1200</v>
      </c>
      <c r="H511" s="1001">
        <v>12</v>
      </c>
      <c r="I511" s="1001">
        <v>3500</v>
      </c>
      <c r="J511" s="1001">
        <v>12</v>
      </c>
      <c r="K511" s="1001">
        <v>3850</v>
      </c>
      <c r="L511" s="1001">
        <v>12</v>
      </c>
      <c r="M511" s="1001">
        <v>4235</v>
      </c>
      <c r="N511" s="1001">
        <v>12</v>
      </c>
      <c r="O511" s="1001">
        <v>4658</v>
      </c>
      <c r="P511" s="1001">
        <v>12</v>
      </c>
      <c r="Q511" s="1001">
        <v>5123</v>
      </c>
      <c r="R511" s="1001"/>
      <c r="S511" s="1004"/>
      <c r="T511" s="1004"/>
    </row>
    <row r="512" spans="2:23" s="1003" customFormat="1" ht="63.75" x14ac:dyDescent="0.25">
      <c r="B512" s="1005" t="s">
        <v>3232</v>
      </c>
      <c r="C512" s="1100" t="s">
        <v>2526</v>
      </c>
      <c r="D512" s="1000" t="s">
        <v>40</v>
      </c>
      <c r="E512" s="1001"/>
      <c r="F512" s="1001">
        <v>12</v>
      </c>
      <c r="G512" s="1001">
        <v>2000</v>
      </c>
      <c r="H512" s="1001">
        <v>12</v>
      </c>
      <c r="I512" s="1001">
        <v>4000</v>
      </c>
      <c r="J512" s="1001">
        <v>12</v>
      </c>
      <c r="K512" s="1001">
        <v>4400</v>
      </c>
      <c r="L512" s="1001">
        <v>12</v>
      </c>
      <c r="M512" s="1001">
        <v>4840</v>
      </c>
      <c r="N512" s="1001">
        <v>12</v>
      </c>
      <c r="O512" s="1001">
        <v>5324</v>
      </c>
      <c r="P512" s="1001">
        <v>12</v>
      </c>
      <c r="Q512" s="1001">
        <v>5856</v>
      </c>
      <c r="R512" s="1001"/>
      <c r="S512" s="1004"/>
      <c r="T512" s="1004"/>
      <c r="U512" s="1030"/>
      <c r="V512" s="1031"/>
    </row>
    <row r="513" spans="2:23" s="1003" customFormat="1" ht="38.25" x14ac:dyDescent="0.25">
      <c r="B513" s="1005" t="s">
        <v>58</v>
      </c>
      <c r="C513" s="1100" t="s">
        <v>2527</v>
      </c>
      <c r="D513" s="1000" t="s">
        <v>40</v>
      </c>
      <c r="E513" s="1001"/>
      <c r="F513" s="1001">
        <v>12</v>
      </c>
      <c r="G513" s="1001">
        <v>5000</v>
      </c>
      <c r="H513" s="1001">
        <v>12</v>
      </c>
      <c r="I513" s="1001">
        <v>6000</v>
      </c>
      <c r="J513" s="1001">
        <v>12</v>
      </c>
      <c r="K513" s="1001">
        <v>6600</v>
      </c>
      <c r="L513" s="1001">
        <v>12</v>
      </c>
      <c r="M513" s="1001">
        <v>7260</v>
      </c>
      <c r="N513" s="1001">
        <v>12</v>
      </c>
      <c r="O513" s="1001">
        <v>7986</v>
      </c>
      <c r="P513" s="1001">
        <v>12</v>
      </c>
      <c r="Q513" s="1001">
        <v>8784</v>
      </c>
      <c r="R513" s="1001"/>
      <c r="S513" s="1004"/>
      <c r="T513" s="1004"/>
      <c r="U513" s="1031"/>
      <c r="V513" s="1031"/>
      <c r="W513" s="1031"/>
    </row>
    <row r="514" spans="2:23" s="1003" customFormat="1" ht="51" x14ac:dyDescent="0.25">
      <c r="B514" s="1005" t="s">
        <v>3233</v>
      </c>
      <c r="C514" s="1100" t="s">
        <v>2529</v>
      </c>
      <c r="D514" s="1000" t="s">
        <v>40</v>
      </c>
      <c r="E514" s="1001"/>
      <c r="F514" s="1001">
        <v>12</v>
      </c>
      <c r="G514" s="1001">
        <v>2500</v>
      </c>
      <c r="H514" s="1001">
        <v>12</v>
      </c>
      <c r="I514" s="1001">
        <v>5000</v>
      </c>
      <c r="J514" s="1001">
        <v>12</v>
      </c>
      <c r="K514" s="1001">
        <v>5500</v>
      </c>
      <c r="L514" s="1001">
        <v>12</v>
      </c>
      <c r="M514" s="1001">
        <v>6050</v>
      </c>
      <c r="N514" s="1001">
        <v>12</v>
      </c>
      <c r="O514" s="1001">
        <v>6655</v>
      </c>
      <c r="P514" s="1001">
        <v>12</v>
      </c>
      <c r="Q514" s="1001">
        <v>7320</v>
      </c>
      <c r="R514" s="1001"/>
      <c r="S514" s="1004"/>
      <c r="T514" s="1004"/>
    </row>
    <row r="515" spans="2:23" s="1003" customFormat="1" ht="51" x14ac:dyDescent="0.25">
      <c r="B515" s="1102" t="s">
        <v>137</v>
      </c>
      <c r="C515" s="1100" t="s">
        <v>2528</v>
      </c>
      <c r="D515" s="1000" t="s">
        <v>40</v>
      </c>
      <c r="E515" s="1001"/>
      <c r="F515" s="1001">
        <v>0</v>
      </c>
      <c r="G515" s="1001">
        <v>0</v>
      </c>
      <c r="H515" s="1001">
        <v>12</v>
      </c>
      <c r="I515" s="1001">
        <v>3000</v>
      </c>
      <c r="J515" s="1001">
        <v>12</v>
      </c>
      <c r="K515" s="1001">
        <v>3300</v>
      </c>
      <c r="L515" s="1001">
        <v>12</v>
      </c>
      <c r="M515" s="1001">
        <v>3630</v>
      </c>
      <c r="N515" s="1001">
        <v>12</v>
      </c>
      <c r="O515" s="1001">
        <v>3993</v>
      </c>
      <c r="P515" s="1001">
        <v>12</v>
      </c>
      <c r="Q515" s="1001">
        <v>4392</v>
      </c>
      <c r="R515" s="1001"/>
      <c r="S515" s="1004"/>
      <c r="T515" s="1004"/>
    </row>
    <row r="516" spans="2:23" s="1003" customFormat="1" ht="38.25" customHeight="1" x14ac:dyDescent="0.25">
      <c r="B516" s="1061" t="s">
        <v>65</v>
      </c>
      <c r="C516" s="999" t="s">
        <v>3234</v>
      </c>
      <c r="D516" s="999" t="s">
        <v>19</v>
      </c>
      <c r="E516" s="1001">
        <v>70</v>
      </c>
      <c r="F516" s="1001">
        <v>3</v>
      </c>
      <c r="G516" s="2114">
        <f>SUM(G518:G523)</f>
        <v>36000</v>
      </c>
      <c r="H516" s="1001">
        <v>2</v>
      </c>
      <c r="I516" s="2114">
        <f>SUM(I518:I523)</f>
        <v>39500</v>
      </c>
      <c r="J516" s="1001">
        <v>3</v>
      </c>
      <c r="K516" s="2114"/>
      <c r="L516" s="1001">
        <v>2</v>
      </c>
      <c r="M516" s="2114">
        <f>SUM(M518:M523)</f>
        <v>15730</v>
      </c>
      <c r="N516" s="1001">
        <v>3</v>
      </c>
      <c r="O516" s="2114">
        <f>SUM(O518:O523)</f>
        <v>17303</v>
      </c>
      <c r="P516" s="1001">
        <v>2</v>
      </c>
      <c r="Q516" s="2114">
        <f>SUM(Q518:Q523)</f>
        <v>54032</v>
      </c>
      <c r="R516" s="1001">
        <f>E516+F516+H516+J516+L516+N516</f>
        <v>83</v>
      </c>
      <c r="S516" s="1004"/>
      <c r="T516" s="1004"/>
    </row>
    <row r="517" spans="2:23" s="1003" customFormat="1" ht="38.25" x14ac:dyDescent="0.25">
      <c r="B517" s="1067"/>
      <c r="C517" s="999" t="s">
        <v>3235</v>
      </c>
      <c r="D517" s="999" t="s">
        <v>19</v>
      </c>
      <c r="E517" s="1001">
        <v>100</v>
      </c>
      <c r="F517" s="1001">
        <v>100</v>
      </c>
      <c r="G517" s="2114"/>
      <c r="H517" s="1001">
        <v>100</v>
      </c>
      <c r="I517" s="2114"/>
      <c r="J517" s="1001">
        <v>100</v>
      </c>
      <c r="K517" s="2114"/>
      <c r="L517" s="1001">
        <v>100</v>
      </c>
      <c r="M517" s="2114"/>
      <c r="N517" s="1001">
        <v>100</v>
      </c>
      <c r="O517" s="2114"/>
      <c r="P517" s="1001">
        <v>100</v>
      </c>
      <c r="Q517" s="2114"/>
      <c r="R517" s="1001">
        <v>100</v>
      </c>
      <c r="S517" s="1004"/>
      <c r="T517" s="1004"/>
    </row>
    <row r="518" spans="2:23" s="1003" customFormat="1" ht="38.25" x14ac:dyDescent="0.25">
      <c r="B518" s="1007" t="s">
        <v>144</v>
      </c>
      <c r="C518" s="999" t="s">
        <v>3408</v>
      </c>
      <c r="D518" s="999" t="s">
        <v>69</v>
      </c>
      <c r="E518" s="1001"/>
      <c r="F518" s="1001">
        <v>2</v>
      </c>
      <c r="G518" s="1001">
        <v>34000</v>
      </c>
      <c r="H518" s="1001">
        <v>2</v>
      </c>
      <c r="I518" s="1001">
        <v>25000</v>
      </c>
      <c r="J518" s="1001">
        <v>2</v>
      </c>
      <c r="K518" s="1001"/>
      <c r="L518" s="1001">
        <v>2</v>
      </c>
      <c r="M518" s="1001"/>
      <c r="N518" s="1001">
        <v>2</v>
      </c>
      <c r="O518" s="1001"/>
      <c r="P518" s="1001">
        <v>2</v>
      </c>
      <c r="Q518" s="1001"/>
      <c r="R518" s="1001"/>
      <c r="S518" s="1004"/>
      <c r="T518" s="1004"/>
    </row>
    <row r="519" spans="2:23" s="1003" customFormat="1" ht="25.5" x14ac:dyDescent="0.25">
      <c r="B519" s="998" t="s">
        <v>3236</v>
      </c>
      <c r="C519" s="1000" t="s">
        <v>3409</v>
      </c>
      <c r="D519" s="1000" t="s">
        <v>75</v>
      </c>
      <c r="E519" s="1001"/>
      <c r="F519" s="1001">
        <v>0</v>
      </c>
      <c r="G519" s="1001">
        <v>0</v>
      </c>
      <c r="H519" s="1001">
        <v>1</v>
      </c>
      <c r="I519" s="1001">
        <v>1500</v>
      </c>
      <c r="J519" s="1001">
        <v>0</v>
      </c>
      <c r="K519" s="1001">
        <v>0</v>
      </c>
      <c r="L519" s="1001">
        <v>0</v>
      </c>
      <c r="M519" s="1001">
        <v>0</v>
      </c>
      <c r="N519" s="1001">
        <v>0</v>
      </c>
      <c r="O519" s="1001">
        <v>0</v>
      </c>
      <c r="P519" s="1001">
        <v>30</v>
      </c>
      <c r="Q519" s="1001">
        <v>10000</v>
      </c>
      <c r="R519" s="1001"/>
      <c r="S519" s="1004"/>
      <c r="T519" s="1004"/>
    </row>
    <row r="520" spans="2:23" s="1003" customFormat="1" ht="25.5" x14ac:dyDescent="0.25">
      <c r="B520" s="998" t="s">
        <v>3238</v>
      </c>
      <c r="C520" s="1000" t="s">
        <v>3461</v>
      </c>
      <c r="D520" s="1000" t="s">
        <v>75</v>
      </c>
      <c r="E520" s="1001"/>
      <c r="F520" s="1001">
        <v>0</v>
      </c>
      <c r="G520" s="1001">
        <v>0</v>
      </c>
      <c r="H520" s="1001">
        <v>0</v>
      </c>
      <c r="I520" s="1001">
        <v>0</v>
      </c>
      <c r="J520" s="1001">
        <v>2</v>
      </c>
      <c r="K520" s="1001">
        <v>0</v>
      </c>
      <c r="L520" s="1001">
        <v>0</v>
      </c>
      <c r="M520" s="1001">
        <v>0</v>
      </c>
      <c r="N520" s="1001">
        <v>0</v>
      </c>
      <c r="O520" s="1001">
        <v>0</v>
      </c>
      <c r="P520" s="1001">
        <v>3</v>
      </c>
      <c r="Q520" s="1001">
        <v>25000</v>
      </c>
      <c r="R520" s="1001"/>
      <c r="S520" s="1004"/>
      <c r="T520" s="1004"/>
    </row>
    <row r="521" spans="2:23" s="1003" customFormat="1" ht="38.25" x14ac:dyDescent="0.25">
      <c r="B521" s="1007" t="s">
        <v>3240</v>
      </c>
      <c r="C521" s="999" t="s">
        <v>3241</v>
      </c>
      <c r="D521" s="999" t="s">
        <v>40</v>
      </c>
      <c r="E521" s="1001"/>
      <c r="F521" s="1001">
        <v>12</v>
      </c>
      <c r="G521" s="1001">
        <v>2000</v>
      </c>
      <c r="H521" s="1001">
        <v>12</v>
      </c>
      <c r="I521" s="1001">
        <v>5000</v>
      </c>
      <c r="J521" s="1001">
        <v>12</v>
      </c>
      <c r="K521" s="1001">
        <v>5500</v>
      </c>
      <c r="L521" s="1001">
        <v>12</v>
      </c>
      <c r="M521" s="1001">
        <v>6050</v>
      </c>
      <c r="N521" s="1001">
        <v>12</v>
      </c>
      <c r="O521" s="1001">
        <v>6655</v>
      </c>
      <c r="P521" s="1001">
        <v>12</v>
      </c>
      <c r="Q521" s="1001">
        <v>7320</v>
      </c>
      <c r="R521" s="1001"/>
      <c r="S521" s="1004"/>
      <c r="T521" s="1004"/>
    </row>
    <row r="522" spans="2:23" s="1003" customFormat="1" ht="38.25" x14ac:dyDescent="0.25">
      <c r="B522" s="1007" t="s">
        <v>3242</v>
      </c>
      <c r="C522" s="999" t="s">
        <v>3160</v>
      </c>
      <c r="D522" s="999" t="s">
        <v>40</v>
      </c>
      <c r="E522" s="1001"/>
      <c r="F522" s="1001">
        <v>0</v>
      </c>
      <c r="G522" s="1001">
        <v>0</v>
      </c>
      <c r="H522" s="1001">
        <v>12</v>
      </c>
      <c r="I522" s="1001">
        <v>5000</v>
      </c>
      <c r="J522" s="1001">
        <v>12</v>
      </c>
      <c r="K522" s="1001">
        <v>5500</v>
      </c>
      <c r="L522" s="1001">
        <v>12</v>
      </c>
      <c r="M522" s="1001">
        <v>6050</v>
      </c>
      <c r="N522" s="1001">
        <v>12</v>
      </c>
      <c r="O522" s="1001">
        <v>6655</v>
      </c>
      <c r="P522" s="1001">
        <v>12</v>
      </c>
      <c r="Q522" s="1001">
        <v>7320</v>
      </c>
      <c r="R522" s="1001"/>
      <c r="S522" s="1004"/>
      <c r="T522" s="1004"/>
      <c r="V522" s="1030"/>
    </row>
    <row r="523" spans="2:23" s="1003" customFormat="1" ht="38.25" x14ac:dyDescent="0.25">
      <c r="B523" s="1007" t="s">
        <v>3243</v>
      </c>
      <c r="C523" s="999" t="s">
        <v>3244</v>
      </c>
      <c r="D523" s="999" t="s">
        <v>40</v>
      </c>
      <c r="E523" s="1001"/>
      <c r="F523" s="1001">
        <v>0</v>
      </c>
      <c r="G523" s="1001">
        <v>0</v>
      </c>
      <c r="H523" s="1001">
        <v>12</v>
      </c>
      <c r="I523" s="1001">
        <v>3000</v>
      </c>
      <c r="J523" s="1001">
        <v>12</v>
      </c>
      <c r="K523" s="1001">
        <v>3300</v>
      </c>
      <c r="L523" s="1001">
        <v>12</v>
      </c>
      <c r="M523" s="1001">
        <v>3630</v>
      </c>
      <c r="N523" s="1001">
        <v>12</v>
      </c>
      <c r="O523" s="1001">
        <v>3993</v>
      </c>
      <c r="P523" s="1001">
        <v>12</v>
      </c>
      <c r="Q523" s="1001">
        <v>4392</v>
      </c>
      <c r="R523" s="1001"/>
      <c r="S523" s="1004"/>
      <c r="T523" s="1004"/>
      <c r="V523" s="1030"/>
      <c r="W523" s="1030"/>
    </row>
    <row r="524" spans="2:23" s="1003" customFormat="1" ht="63.75" x14ac:dyDescent="0.25">
      <c r="B524" s="1106" t="s">
        <v>3245</v>
      </c>
      <c r="C524" s="1000" t="s">
        <v>3246</v>
      </c>
      <c r="D524" s="1000" t="s">
        <v>79</v>
      </c>
      <c r="E524" s="1001">
        <v>10</v>
      </c>
      <c r="F524" s="1001">
        <f>F525</f>
        <v>2</v>
      </c>
      <c r="G524" s="1001">
        <f>G525</f>
        <v>6000</v>
      </c>
      <c r="H524" s="1001">
        <f t="shared" ref="H524:Q524" si="57">H525</f>
        <v>2</v>
      </c>
      <c r="I524" s="1001">
        <f t="shared" si="57"/>
        <v>8000</v>
      </c>
      <c r="J524" s="1001">
        <f t="shared" si="57"/>
        <v>2</v>
      </c>
      <c r="K524" s="1001">
        <f t="shared" si="57"/>
        <v>8800</v>
      </c>
      <c r="L524" s="1001">
        <f t="shared" si="57"/>
        <v>2</v>
      </c>
      <c r="M524" s="1001">
        <f t="shared" si="57"/>
        <v>9680</v>
      </c>
      <c r="N524" s="1001">
        <f>N525</f>
        <v>2</v>
      </c>
      <c r="O524" s="1001">
        <f t="shared" si="57"/>
        <v>10648</v>
      </c>
      <c r="P524" s="1001">
        <f t="shared" si="57"/>
        <v>2</v>
      </c>
      <c r="Q524" s="1001">
        <f t="shared" si="57"/>
        <v>11712</v>
      </c>
      <c r="R524" s="1001">
        <f>E524+F524+H524+J524+L524+N524</f>
        <v>20</v>
      </c>
      <c r="S524" s="1004"/>
      <c r="T524" s="1004"/>
      <c r="V524" s="1031"/>
    </row>
    <row r="525" spans="2:23" s="1003" customFormat="1" ht="102" x14ac:dyDescent="0.25">
      <c r="B525" s="998" t="s">
        <v>80</v>
      </c>
      <c r="C525" s="1000" t="s">
        <v>3472</v>
      </c>
      <c r="D525" s="1000" t="s">
        <v>79</v>
      </c>
      <c r="E525" s="1001"/>
      <c r="F525" s="1001">
        <v>2</v>
      </c>
      <c r="G525" s="1001">
        <v>6000</v>
      </c>
      <c r="H525" s="1001">
        <v>2</v>
      </c>
      <c r="I525" s="1001">
        <v>8000</v>
      </c>
      <c r="J525" s="1001">
        <v>2</v>
      </c>
      <c r="K525" s="1001">
        <v>8800</v>
      </c>
      <c r="L525" s="1001">
        <v>2</v>
      </c>
      <c r="M525" s="1001">
        <v>9680</v>
      </c>
      <c r="N525" s="1001">
        <v>2</v>
      </c>
      <c r="O525" s="1001">
        <v>10648</v>
      </c>
      <c r="P525" s="1001">
        <v>2</v>
      </c>
      <c r="Q525" s="1001">
        <v>11712</v>
      </c>
      <c r="R525" s="1001"/>
      <c r="S525" s="1004"/>
      <c r="T525" s="1004"/>
    </row>
    <row r="526" spans="2:23" s="1003" customFormat="1" ht="48" x14ac:dyDescent="0.25">
      <c r="B526" s="1106" t="s">
        <v>3411</v>
      </c>
      <c r="C526" s="1000" t="s">
        <v>3249</v>
      </c>
      <c r="D526" s="1000" t="s">
        <v>79</v>
      </c>
      <c r="E526" s="1001">
        <v>5</v>
      </c>
      <c r="F526" s="1001">
        <v>1</v>
      </c>
      <c r="G526" s="1001">
        <f>G527</f>
        <v>5500</v>
      </c>
      <c r="H526" s="1001">
        <f t="shared" ref="H526:Q526" si="58">H527</f>
        <v>2</v>
      </c>
      <c r="I526" s="1001">
        <f t="shared" si="58"/>
        <v>6000</v>
      </c>
      <c r="J526" s="1001">
        <f t="shared" si="58"/>
        <v>2</v>
      </c>
      <c r="K526" s="1001">
        <f t="shared" si="58"/>
        <v>6600</v>
      </c>
      <c r="L526" s="1001">
        <f t="shared" si="58"/>
        <v>2</v>
      </c>
      <c r="M526" s="1001">
        <f t="shared" si="58"/>
        <v>7260</v>
      </c>
      <c r="N526" s="1001">
        <f t="shared" si="58"/>
        <v>2</v>
      </c>
      <c r="O526" s="1001">
        <f t="shared" si="58"/>
        <v>7986</v>
      </c>
      <c r="P526" s="1001">
        <f t="shared" si="58"/>
        <v>2</v>
      </c>
      <c r="Q526" s="1001">
        <f t="shared" si="58"/>
        <v>8784</v>
      </c>
      <c r="R526" s="1001">
        <f>E526+F526+H526+J526+L526+N526</f>
        <v>14</v>
      </c>
      <c r="S526" s="1004"/>
      <c r="T526" s="1004"/>
    </row>
    <row r="527" spans="2:23" s="1003" customFormat="1" ht="63.75" x14ac:dyDescent="0.25">
      <c r="B527" s="998" t="s">
        <v>1712</v>
      </c>
      <c r="C527" s="1000" t="s">
        <v>3250</v>
      </c>
      <c r="D527" s="1000"/>
      <c r="E527" s="1001"/>
      <c r="F527" s="1001">
        <v>1</v>
      </c>
      <c r="G527" s="1001">
        <v>5500</v>
      </c>
      <c r="H527" s="1001">
        <v>2</v>
      </c>
      <c r="I527" s="1001">
        <v>6000</v>
      </c>
      <c r="J527" s="1001">
        <v>2</v>
      </c>
      <c r="K527" s="1001">
        <v>6600</v>
      </c>
      <c r="L527" s="1001">
        <v>2</v>
      </c>
      <c r="M527" s="1001">
        <v>7260</v>
      </c>
      <c r="N527" s="1001">
        <v>2</v>
      </c>
      <c r="O527" s="1001">
        <v>7986</v>
      </c>
      <c r="P527" s="1001">
        <v>2</v>
      </c>
      <c r="Q527" s="1001">
        <v>8784</v>
      </c>
      <c r="R527" s="1001"/>
      <c r="S527" s="1004"/>
      <c r="T527" s="1004"/>
    </row>
    <row r="528" spans="2:23" s="1003" customFormat="1" ht="63.75" customHeight="1" x14ac:dyDescent="0.25">
      <c r="B528" s="1065" t="s">
        <v>3251</v>
      </c>
      <c r="C528" s="1000" t="s">
        <v>3252</v>
      </c>
      <c r="D528" s="1000" t="s">
        <v>79</v>
      </c>
      <c r="E528" s="1001">
        <v>5</v>
      </c>
      <c r="F528" s="1001">
        <v>1</v>
      </c>
      <c r="G528" s="2114">
        <f>SUM(G530:G531)</f>
        <v>15000</v>
      </c>
      <c r="H528" s="1001">
        <v>1</v>
      </c>
      <c r="I528" s="2114">
        <f>SUM(I530:I531)</f>
        <v>33000</v>
      </c>
      <c r="J528" s="1001">
        <v>1</v>
      </c>
      <c r="K528" s="2114">
        <f>SUM(K530:K531)</f>
        <v>36300</v>
      </c>
      <c r="L528" s="1001">
        <v>1</v>
      </c>
      <c r="M528" s="2114">
        <f>SUM(M530:M531)</f>
        <v>39930</v>
      </c>
      <c r="N528" s="1001">
        <v>1</v>
      </c>
      <c r="O528" s="2114">
        <f>SUM(O530:O531)</f>
        <v>43923</v>
      </c>
      <c r="P528" s="1001">
        <v>1</v>
      </c>
      <c r="Q528" s="2114">
        <f>SUM(Q530:Q531)</f>
        <v>48312</v>
      </c>
      <c r="R528" s="1001">
        <f>E528+F528+H528+J528+L528+N528</f>
        <v>10</v>
      </c>
      <c r="S528" s="1004"/>
      <c r="T528" s="1004"/>
    </row>
    <row r="529" spans="2:22" s="1003" customFormat="1" ht="38.25" x14ac:dyDescent="0.25">
      <c r="B529" s="1066"/>
      <c r="C529" s="1000" t="s">
        <v>3253</v>
      </c>
      <c r="D529" s="1000" t="s">
        <v>79</v>
      </c>
      <c r="E529" s="1001">
        <v>5</v>
      </c>
      <c r="F529" s="1001">
        <v>1</v>
      </c>
      <c r="G529" s="2114"/>
      <c r="H529" s="1001">
        <v>1</v>
      </c>
      <c r="I529" s="2114"/>
      <c r="J529" s="1001">
        <v>1</v>
      </c>
      <c r="K529" s="2114"/>
      <c r="L529" s="1001">
        <v>1</v>
      </c>
      <c r="M529" s="2114"/>
      <c r="N529" s="1001">
        <v>1</v>
      </c>
      <c r="O529" s="2114"/>
      <c r="P529" s="1001">
        <v>1</v>
      </c>
      <c r="Q529" s="2114"/>
      <c r="R529" s="1001">
        <f>E529+F529+H529+J529+L529+N529</f>
        <v>10</v>
      </c>
      <c r="S529" s="1004"/>
      <c r="T529" s="1004"/>
    </row>
    <row r="530" spans="2:22" s="1003" customFormat="1" ht="38.25" x14ac:dyDescent="0.25">
      <c r="B530" s="998" t="s">
        <v>3254</v>
      </c>
      <c r="C530" s="1000" t="s">
        <v>3255</v>
      </c>
      <c r="D530" s="1000" t="s">
        <v>103</v>
      </c>
      <c r="E530" s="1001"/>
      <c r="F530" s="1001">
        <v>2</v>
      </c>
      <c r="G530" s="1001">
        <v>15000</v>
      </c>
      <c r="H530" s="1001">
        <v>2</v>
      </c>
      <c r="I530" s="1001">
        <v>25000</v>
      </c>
      <c r="J530" s="1001">
        <v>2</v>
      </c>
      <c r="K530" s="1001">
        <v>27500</v>
      </c>
      <c r="L530" s="1001">
        <v>2</v>
      </c>
      <c r="M530" s="1001">
        <v>30250</v>
      </c>
      <c r="N530" s="1001">
        <v>2</v>
      </c>
      <c r="O530" s="1001">
        <v>33275</v>
      </c>
      <c r="P530" s="1001">
        <v>2</v>
      </c>
      <c r="Q530" s="1001">
        <v>36600</v>
      </c>
      <c r="R530" s="1001"/>
      <c r="S530" s="1004"/>
      <c r="T530" s="1004"/>
      <c r="U530" s="1030"/>
      <c r="V530" s="1030"/>
    </row>
    <row r="531" spans="2:22" s="1003" customFormat="1" ht="51" x14ac:dyDescent="0.25">
      <c r="B531" s="998" t="s">
        <v>3256</v>
      </c>
      <c r="C531" s="1000" t="s">
        <v>3257</v>
      </c>
      <c r="D531" s="1000" t="s">
        <v>103</v>
      </c>
      <c r="E531" s="1001"/>
      <c r="F531" s="1001">
        <v>0</v>
      </c>
      <c r="G531" s="1001">
        <v>0</v>
      </c>
      <c r="H531" s="1001">
        <v>10</v>
      </c>
      <c r="I531" s="1001">
        <v>8000</v>
      </c>
      <c r="J531" s="1001">
        <v>10</v>
      </c>
      <c r="K531" s="1001">
        <v>8800</v>
      </c>
      <c r="L531" s="1001">
        <v>10</v>
      </c>
      <c r="M531" s="1001">
        <v>9680</v>
      </c>
      <c r="N531" s="1001">
        <v>10</v>
      </c>
      <c r="O531" s="1001">
        <v>10648</v>
      </c>
      <c r="P531" s="1001">
        <v>10</v>
      </c>
      <c r="Q531" s="1001">
        <v>11712</v>
      </c>
      <c r="R531" s="1001"/>
      <c r="S531" s="1004"/>
      <c r="T531" s="1004"/>
      <c r="U531" s="1030"/>
    </row>
    <row r="532" spans="2:22" s="1003" customFormat="1" ht="51" x14ac:dyDescent="0.25">
      <c r="B532" s="1106" t="s">
        <v>3420</v>
      </c>
      <c r="C532" s="1000" t="s">
        <v>3386</v>
      </c>
      <c r="D532" s="1000" t="s">
        <v>19</v>
      </c>
      <c r="E532" s="1001">
        <v>100</v>
      </c>
      <c r="F532" s="1001">
        <v>100</v>
      </c>
      <c r="G532" s="1001">
        <f>G533</f>
        <v>53000</v>
      </c>
      <c r="H532" s="1001">
        <v>100</v>
      </c>
      <c r="I532" s="1001">
        <f>I533</f>
        <v>51000</v>
      </c>
      <c r="J532" s="1001">
        <v>100</v>
      </c>
      <c r="K532" s="1001">
        <f>K533</f>
        <v>56500</v>
      </c>
      <c r="L532" s="1001">
        <v>100</v>
      </c>
      <c r="M532" s="1001">
        <f>M533</f>
        <v>57750</v>
      </c>
      <c r="N532" s="1001">
        <v>100</v>
      </c>
      <c r="O532" s="1001">
        <f>O533</f>
        <v>63525</v>
      </c>
      <c r="P532" s="1001">
        <v>100</v>
      </c>
      <c r="Q532" s="1001">
        <f>Q533</f>
        <v>69800</v>
      </c>
      <c r="R532" s="1001">
        <v>100</v>
      </c>
      <c r="S532" s="1004"/>
      <c r="T532" s="1004"/>
    </row>
    <row r="533" spans="2:22" s="1003" customFormat="1" ht="25.5" x14ac:dyDescent="0.25">
      <c r="B533" s="998" t="s">
        <v>3421</v>
      </c>
      <c r="C533" s="1000" t="s">
        <v>3422</v>
      </c>
      <c r="D533" s="1000" t="s">
        <v>40</v>
      </c>
      <c r="E533" s="1001"/>
      <c r="F533" s="1001">
        <v>12</v>
      </c>
      <c r="G533" s="1001">
        <v>53000</v>
      </c>
      <c r="H533" s="1001">
        <v>12</v>
      </c>
      <c r="I533" s="1001">
        <v>51000</v>
      </c>
      <c r="J533" s="1001">
        <v>12</v>
      </c>
      <c r="K533" s="1001">
        <v>56500</v>
      </c>
      <c r="L533" s="1001">
        <v>12</v>
      </c>
      <c r="M533" s="1001">
        <v>57750</v>
      </c>
      <c r="N533" s="1001">
        <v>12</v>
      </c>
      <c r="O533" s="1001">
        <v>63525</v>
      </c>
      <c r="P533" s="1001">
        <v>12</v>
      </c>
      <c r="Q533" s="1001">
        <v>69800</v>
      </c>
      <c r="R533" s="1001"/>
      <c r="S533" s="1004"/>
      <c r="T533" s="1004"/>
    </row>
    <row r="534" spans="2:22" s="1003" customFormat="1" ht="84" x14ac:dyDescent="0.25">
      <c r="B534" s="1106" t="s">
        <v>1743</v>
      </c>
      <c r="C534" s="1000" t="s">
        <v>3265</v>
      </c>
      <c r="D534" s="1000" t="s">
        <v>19</v>
      </c>
      <c r="E534" s="1001">
        <v>50</v>
      </c>
      <c r="F534" s="1001">
        <v>60</v>
      </c>
      <c r="G534" s="1001">
        <f>SUM(G535:G537)</f>
        <v>37000</v>
      </c>
      <c r="H534" s="1001">
        <v>70</v>
      </c>
      <c r="I534" s="1001">
        <f>SUM(I535:I537)</f>
        <v>50000</v>
      </c>
      <c r="J534" s="1001">
        <v>80</v>
      </c>
      <c r="K534" s="1001">
        <f>SUM(K535:K537)</f>
        <v>50500</v>
      </c>
      <c r="L534" s="1001">
        <v>90</v>
      </c>
      <c r="M534" s="1001">
        <f>SUM(M535:M537)</f>
        <v>52220</v>
      </c>
      <c r="N534" s="1001">
        <v>100</v>
      </c>
      <c r="O534" s="1001">
        <f>SUM(O535:O537)</f>
        <v>57442</v>
      </c>
      <c r="P534" s="1001">
        <v>100</v>
      </c>
      <c r="Q534" s="1001">
        <f>SUM(Q535:Q537)</f>
        <v>62886</v>
      </c>
      <c r="R534" s="1001">
        <v>100</v>
      </c>
      <c r="S534" s="1004"/>
      <c r="T534" s="1004"/>
    </row>
    <row r="535" spans="2:22" s="1003" customFormat="1" ht="25.5" x14ac:dyDescent="0.25">
      <c r="B535" s="998" t="s">
        <v>3266</v>
      </c>
      <c r="C535" s="1000" t="s">
        <v>3267</v>
      </c>
      <c r="D535" s="1000" t="s">
        <v>103</v>
      </c>
      <c r="E535" s="1001"/>
      <c r="F535" s="1001">
        <v>13</v>
      </c>
      <c r="G535" s="1001">
        <v>20000</v>
      </c>
      <c r="H535" s="1001">
        <v>13</v>
      </c>
      <c r="I535" s="1001">
        <v>30000</v>
      </c>
      <c r="J535" s="1001">
        <v>13</v>
      </c>
      <c r="K535" s="1001">
        <v>30300</v>
      </c>
      <c r="L535" s="1001">
        <v>13</v>
      </c>
      <c r="M535" s="1001">
        <v>30000</v>
      </c>
      <c r="N535" s="1001">
        <v>13</v>
      </c>
      <c r="O535" s="1001">
        <v>33000</v>
      </c>
      <c r="P535" s="1001">
        <v>13</v>
      </c>
      <c r="Q535" s="1001">
        <v>36000</v>
      </c>
      <c r="R535" s="1001"/>
      <c r="S535" s="1004"/>
      <c r="T535" s="1004"/>
    </row>
    <row r="536" spans="2:22" s="1003" customFormat="1" ht="38.25" x14ac:dyDescent="0.25">
      <c r="B536" s="998" t="s">
        <v>1752</v>
      </c>
      <c r="C536" s="1000" t="s">
        <v>3473</v>
      </c>
      <c r="D536" s="1000" t="s">
        <v>103</v>
      </c>
      <c r="E536" s="1001"/>
      <c r="F536" s="1001">
        <v>13</v>
      </c>
      <c r="G536" s="1001">
        <v>9000</v>
      </c>
      <c r="H536" s="1001">
        <v>13</v>
      </c>
      <c r="I536" s="1001">
        <v>10000</v>
      </c>
      <c r="J536" s="1001">
        <v>13</v>
      </c>
      <c r="K536" s="1001">
        <v>10100</v>
      </c>
      <c r="L536" s="1001">
        <v>13</v>
      </c>
      <c r="M536" s="1001">
        <v>11110</v>
      </c>
      <c r="N536" s="1001">
        <v>13</v>
      </c>
      <c r="O536" s="1001">
        <v>12221</v>
      </c>
      <c r="P536" s="1001">
        <v>13</v>
      </c>
      <c r="Q536" s="1001">
        <v>13443</v>
      </c>
      <c r="R536" s="1001"/>
      <c r="S536" s="1004"/>
      <c r="T536" s="1004"/>
    </row>
    <row r="537" spans="2:22" s="1003" customFormat="1" ht="76.5" x14ac:dyDescent="0.25">
      <c r="B537" s="998" t="s">
        <v>3390</v>
      </c>
      <c r="C537" s="1000" t="s">
        <v>3273</v>
      </c>
      <c r="D537" s="1000" t="s">
        <v>103</v>
      </c>
      <c r="E537" s="1001"/>
      <c r="F537" s="1001">
        <v>13</v>
      </c>
      <c r="G537" s="1001">
        <v>8000</v>
      </c>
      <c r="H537" s="1001">
        <v>13</v>
      </c>
      <c r="I537" s="1001">
        <v>10000</v>
      </c>
      <c r="J537" s="1001">
        <v>13</v>
      </c>
      <c r="K537" s="1001">
        <v>10100</v>
      </c>
      <c r="L537" s="1001">
        <v>13</v>
      </c>
      <c r="M537" s="1001">
        <v>11110</v>
      </c>
      <c r="N537" s="1001">
        <v>13</v>
      </c>
      <c r="O537" s="1001">
        <v>12221</v>
      </c>
      <c r="P537" s="1001">
        <v>13</v>
      </c>
      <c r="Q537" s="1001">
        <v>13443</v>
      </c>
      <c r="R537" s="1001"/>
      <c r="S537" s="1004"/>
      <c r="T537" s="1004"/>
    </row>
    <row r="538" spans="2:22" s="1003" customFormat="1" ht="76.5" customHeight="1" x14ac:dyDescent="0.25">
      <c r="B538" s="1063" t="s">
        <v>3425</v>
      </c>
      <c r="C538" s="1000" t="s">
        <v>3274</v>
      </c>
      <c r="D538" s="1000" t="s">
        <v>79</v>
      </c>
      <c r="E538" s="1001">
        <v>1</v>
      </c>
      <c r="F538" s="1001">
        <v>1</v>
      </c>
      <c r="G538" s="1001">
        <f>G539</f>
        <v>5214</v>
      </c>
      <c r="H538" s="1001">
        <v>1</v>
      </c>
      <c r="I538" s="1001">
        <f>I539</f>
        <v>6000</v>
      </c>
      <c r="J538" s="1001">
        <v>1</v>
      </c>
      <c r="K538" s="1001">
        <f>K539</f>
        <v>6600</v>
      </c>
      <c r="L538" s="1001">
        <v>1</v>
      </c>
      <c r="M538" s="1001">
        <f>M539</f>
        <v>7260</v>
      </c>
      <c r="N538" s="1001">
        <v>1</v>
      </c>
      <c r="O538" s="1001">
        <f>O539</f>
        <v>7986</v>
      </c>
      <c r="P538" s="1001">
        <v>1</v>
      </c>
      <c r="Q538" s="1001">
        <f>Q539</f>
        <v>8784</v>
      </c>
      <c r="R538" s="1001">
        <f>E538+F538+H538+J538+L538+N538</f>
        <v>6</v>
      </c>
      <c r="S538" s="1004"/>
      <c r="T538" s="1004"/>
    </row>
    <row r="539" spans="2:22" s="1003" customFormat="1" ht="25.5" x14ac:dyDescent="0.25">
      <c r="B539" s="1008" t="s">
        <v>3277</v>
      </c>
      <c r="C539" s="1000" t="s">
        <v>3278</v>
      </c>
      <c r="D539" s="1000" t="s">
        <v>103</v>
      </c>
      <c r="E539" s="1001"/>
      <c r="F539" s="1001">
        <v>12</v>
      </c>
      <c r="G539" s="1001">
        <v>5214</v>
      </c>
      <c r="H539" s="1001">
        <v>12</v>
      </c>
      <c r="I539" s="1001">
        <v>6000</v>
      </c>
      <c r="J539" s="1001">
        <v>12</v>
      </c>
      <c r="K539" s="1001">
        <v>6600</v>
      </c>
      <c r="L539" s="1001">
        <v>12</v>
      </c>
      <c r="M539" s="1001">
        <v>7260</v>
      </c>
      <c r="N539" s="1001">
        <v>12</v>
      </c>
      <c r="O539" s="1001">
        <v>7986</v>
      </c>
      <c r="P539" s="1001">
        <v>12</v>
      </c>
      <c r="Q539" s="1001">
        <v>8784</v>
      </c>
      <c r="R539" s="1001"/>
      <c r="S539" s="1004"/>
      <c r="T539" s="1004"/>
      <c r="U539" s="1030"/>
      <c r="V539" s="1030"/>
    </row>
    <row r="540" spans="2:22" s="1003" customFormat="1" ht="63.75" customHeight="1" x14ac:dyDescent="0.25">
      <c r="B540" s="1063" t="s">
        <v>3280</v>
      </c>
      <c r="C540" s="1000" t="s">
        <v>3279</v>
      </c>
      <c r="D540" s="1000" t="s">
        <v>327</v>
      </c>
      <c r="E540" s="1001">
        <v>16</v>
      </c>
      <c r="F540" s="1001">
        <v>20</v>
      </c>
      <c r="G540" s="1001">
        <f>SUM(G541:G542)</f>
        <v>11000</v>
      </c>
      <c r="H540" s="1001">
        <v>24</v>
      </c>
      <c r="I540" s="1001">
        <f>SUM(I541:I542)</f>
        <v>14000</v>
      </c>
      <c r="J540" s="1001">
        <v>28</v>
      </c>
      <c r="K540" s="1001">
        <f>SUM(K541:K542)</f>
        <v>15400</v>
      </c>
      <c r="L540" s="1001">
        <v>32</v>
      </c>
      <c r="M540" s="1001">
        <f>SUM(M541:M542)</f>
        <v>13310</v>
      </c>
      <c r="N540" s="1001">
        <v>36</v>
      </c>
      <c r="O540" s="1001">
        <f>SUM(O541:O542)</f>
        <v>14641</v>
      </c>
      <c r="P540" s="1001">
        <v>40</v>
      </c>
      <c r="Q540" s="1001">
        <v>16105</v>
      </c>
      <c r="R540" s="1001">
        <f>N540</f>
        <v>36</v>
      </c>
      <c r="S540" s="1004"/>
      <c r="T540" s="1004"/>
      <c r="U540" s="1030"/>
    </row>
    <row r="541" spans="2:22" s="1003" customFormat="1" ht="38.25" x14ac:dyDescent="0.25">
      <c r="B541" s="1008" t="s">
        <v>1298</v>
      </c>
      <c r="C541" s="1000" t="s">
        <v>3281</v>
      </c>
      <c r="D541" s="1000" t="s">
        <v>327</v>
      </c>
      <c r="E541" s="1001"/>
      <c r="F541" s="1001">
        <v>2</v>
      </c>
      <c r="G541" s="1001">
        <v>7000</v>
      </c>
      <c r="H541" s="1001">
        <v>2</v>
      </c>
      <c r="I541" s="1001">
        <v>8000</v>
      </c>
      <c r="J541" s="1001">
        <v>2</v>
      </c>
      <c r="K541" s="1001">
        <v>8800</v>
      </c>
      <c r="L541" s="1001">
        <v>2</v>
      </c>
      <c r="M541" s="1001">
        <v>6050</v>
      </c>
      <c r="N541" s="1001">
        <v>2</v>
      </c>
      <c r="O541" s="1001">
        <v>6655</v>
      </c>
      <c r="P541" s="1001">
        <v>2</v>
      </c>
      <c r="Q541" s="1001">
        <v>7320</v>
      </c>
      <c r="R541" s="1001"/>
      <c r="S541" s="1004"/>
      <c r="T541" s="1004"/>
    </row>
    <row r="542" spans="2:22" s="1003" customFormat="1" ht="38.25" x14ac:dyDescent="0.25">
      <c r="B542" s="1008" t="s">
        <v>3282</v>
      </c>
      <c r="C542" s="1000" t="s">
        <v>3283</v>
      </c>
      <c r="D542" s="1000" t="s">
        <v>327</v>
      </c>
      <c r="E542" s="1001"/>
      <c r="F542" s="1001">
        <v>2</v>
      </c>
      <c r="G542" s="1001">
        <v>4000</v>
      </c>
      <c r="H542" s="1001">
        <v>2</v>
      </c>
      <c r="I542" s="1001">
        <v>6000</v>
      </c>
      <c r="J542" s="1001">
        <v>2</v>
      </c>
      <c r="K542" s="1001">
        <v>6600</v>
      </c>
      <c r="L542" s="1001">
        <v>2</v>
      </c>
      <c r="M542" s="1001">
        <v>7260</v>
      </c>
      <c r="N542" s="1001">
        <v>2</v>
      </c>
      <c r="O542" s="1001">
        <v>7986</v>
      </c>
      <c r="P542" s="1001">
        <v>2</v>
      </c>
      <c r="Q542" s="1001">
        <v>8784</v>
      </c>
      <c r="R542" s="1001"/>
      <c r="S542" s="1004"/>
      <c r="T542" s="1004"/>
    </row>
    <row r="543" spans="2:22" s="1003" customFormat="1" ht="60" x14ac:dyDescent="0.25">
      <c r="B543" s="1106" t="s">
        <v>3284</v>
      </c>
      <c r="C543" s="1009" t="s">
        <v>3285</v>
      </c>
      <c r="D543" s="1009" t="s">
        <v>364</v>
      </c>
      <c r="E543" s="1001">
        <v>100</v>
      </c>
      <c r="F543" s="1001">
        <v>90</v>
      </c>
      <c r="G543" s="1001">
        <f>G544</f>
        <v>8000</v>
      </c>
      <c r="H543" s="1001">
        <v>80</v>
      </c>
      <c r="I543" s="1001">
        <f>I544</f>
        <v>10000</v>
      </c>
      <c r="J543" s="1001">
        <v>70</v>
      </c>
      <c r="K543" s="1001">
        <f>K544</f>
        <v>10100</v>
      </c>
      <c r="L543" s="1001">
        <v>60</v>
      </c>
      <c r="M543" s="1001">
        <f>M544</f>
        <v>11110</v>
      </c>
      <c r="N543" s="1001">
        <v>50</v>
      </c>
      <c r="O543" s="1001">
        <v>12221</v>
      </c>
      <c r="P543" s="1001">
        <v>50</v>
      </c>
      <c r="Q543" s="1001">
        <v>13443</v>
      </c>
      <c r="R543" s="1001">
        <f>N543</f>
        <v>50</v>
      </c>
      <c r="S543" s="1004"/>
      <c r="T543" s="1004"/>
    </row>
    <row r="544" spans="2:22" s="1003" customFormat="1" ht="63.75" x14ac:dyDescent="0.25">
      <c r="B544" s="998" t="s">
        <v>3286</v>
      </c>
      <c r="C544" s="1009" t="s">
        <v>3287</v>
      </c>
      <c r="D544" s="1009" t="s">
        <v>100</v>
      </c>
      <c r="E544" s="1001"/>
      <c r="F544" s="1001">
        <v>39</v>
      </c>
      <c r="G544" s="1001">
        <v>8000</v>
      </c>
      <c r="H544" s="1001">
        <v>39</v>
      </c>
      <c r="I544" s="1001">
        <v>10000</v>
      </c>
      <c r="J544" s="1001">
        <v>39</v>
      </c>
      <c r="K544" s="1001">
        <v>10100</v>
      </c>
      <c r="L544" s="1001">
        <v>39</v>
      </c>
      <c r="M544" s="1001">
        <v>11110</v>
      </c>
      <c r="N544" s="1001">
        <v>39</v>
      </c>
      <c r="O544" s="1001">
        <v>12221</v>
      </c>
      <c r="P544" s="1001">
        <v>39</v>
      </c>
      <c r="Q544" s="1001">
        <v>13443</v>
      </c>
      <c r="R544" s="1001"/>
      <c r="S544" s="1004"/>
      <c r="T544" s="1004"/>
    </row>
    <row r="545" spans="2:22" s="1003" customFormat="1" ht="48" x14ac:dyDescent="0.25">
      <c r="B545" s="1106" t="s">
        <v>3289</v>
      </c>
      <c r="C545" s="1009" t="s">
        <v>3288</v>
      </c>
      <c r="D545" s="1009" t="s">
        <v>100</v>
      </c>
      <c r="E545" s="1001">
        <v>45</v>
      </c>
      <c r="F545" s="1001">
        <f>F546</f>
        <v>45</v>
      </c>
      <c r="G545" s="1001">
        <f t="shared" ref="G545:Q545" si="59">G546</f>
        <v>15000</v>
      </c>
      <c r="H545" s="1001">
        <f t="shared" si="59"/>
        <v>45</v>
      </c>
      <c r="I545" s="1001">
        <f t="shared" si="59"/>
        <v>20000</v>
      </c>
      <c r="J545" s="1001">
        <f t="shared" si="59"/>
        <v>45</v>
      </c>
      <c r="K545" s="1001">
        <f t="shared" si="59"/>
        <v>20200</v>
      </c>
      <c r="L545" s="1001">
        <f t="shared" si="59"/>
        <v>45</v>
      </c>
      <c r="M545" s="1001">
        <f t="shared" si="59"/>
        <v>22220</v>
      </c>
      <c r="N545" s="1001">
        <f t="shared" si="59"/>
        <v>45</v>
      </c>
      <c r="O545" s="1001">
        <f t="shared" si="59"/>
        <v>24442</v>
      </c>
      <c r="P545" s="1001">
        <f t="shared" si="59"/>
        <v>45</v>
      </c>
      <c r="Q545" s="1001">
        <f t="shared" si="59"/>
        <v>26886</v>
      </c>
      <c r="R545" s="1001">
        <f>F545+H545+J545+L545+N545</f>
        <v>225</v>
      </c>
      <c r="S545" s="1004"/>
      <c r="T545" s="1004"/>
    </row>
    <row r="546" spans="2:22" s="1003" customFormat="1" ht="76.5" x14ac:dyDescent="0.25">
      <c r="B546" s="998" t="s">
        <v>894</v>
      </c>
      <c r="C546" s="1009" t="s">
        <v>3290</v>
      </c>
      <c r="D546" s="1009" t="s">
        <v>100</v>
      </c>
      <c r="E546" s="1001"/>
      <c r="F546" s="1001">
        <v>45</v>
      </c>
      <c r="G546" s="1001">
        <v>15000</v>
      </c>
      <c r="H546" s="1001">
        <v>45</v>
      </c>
      <c r="I546" s="1001">
        <v>20000</v>
      </c>
      <c r="J546" s="1001">
        <v>45</v>
      </c>
      <c r="K546" s="1001">
        <v>20200</v>
      </c>
      <c r="L546" s="1001">
        <v>45</v>
      </c>
      <c r="M546" s="1001">
        <v>22220</v>
      </c>
      <c r="N546" s="1001">
        <v>45</v>
      </c>
      <c r="O546" s="1001">
        <v>24442</v>
      </c>
      <c r="P546" s="1001">
        <v>45</v>
      </c>
      <c r="Q546" s="1001">
        <v>26886</v>
      </c>
      <c r="R546" s="1001"/>
      <c r="S546" s="1004"/>
      <c r="T546" s="1004"/>
      <c r="U546" s="1030"/>
      <c r="V546" s="1030"/>
    </row>
    <row r="547" spans="2:22" s="1003" customFormat="1" ht="60" x14ac:dyDescent="0.25">
      <c r="B547" s="1063" t="s">
        <v>3292</v>
      </c>
      <c r="C547" s="1000" t="s">
        <v>3291</v>
      </c>
      <c r="D547" s="1000" t="s">
        <v>19</v>
      </c>
      <c r="E547" s="1001">
        <v>75</v>
      </c>
      <c r="F547" s="1001">
        <v>77</v>
      </c>
      <c r="G547" s="1001">
        <f>G548</f>
        <v>1000</v>
      </c>
      <c r="H547" s="1001"/>
      <c r="I547" s="1001">
        <f>I548</f>
        <v>0</v>
      </c>
      <c r="J547" s="1001"/>
      <c r="K547" s="1001">
        <f>K548</f>
        <v>0</v>
      </c>
      <c r="L547" s="1001">
        <v>0</v>
      </c>
      <c r="M547" s="1001">
        <f>M548</f>
        <v>0</v>
      </c>
      <c r="N547" s="1001">
        <v>80</v>
      </c>
      <c r="O547" s="1001">
        <f>O548</f>
        <v>1000</v>
      </c>
      <c r="P547" s="1001"/>
      <c r="Q547" s="1001">
        <f>Q548</f>
        <v>0</v>
      </c>
      <c r="R547" s="1001">
        <f>L547</f>
        <v>0</v>
      </c>
      <c r="S547" s="1004"/>
      <c r="T547" s="1004"/>
      <c r="U547" s="1030"/>
    </row>
    <row r="548" spans="2:22" s="1003" customFormat="1" ht="38.25" x14ac:dyDescent="0.25">
      <c r="B548" s="1008" t="s">
        <v>3293</v>
      </c>
      <c r="C548" s="1000" t="s">
        <v>3294</v>
      </c>
      <c r="D548" s="1000" t="s">
        <v>103</v>
      </c>
      <c r="E548" s="1001"/>
      <c r="F548" s="1001">
        <v>1</v>
      </c>
      <c r="G548" s="1001">
        <v>1000</v>
      </c>
      <c r="H548" s="1001"/>
      <c r="I548" s="1001">
        <v>0</v>
      </c>
      <c r="J548" s="1001"/>
      <c r="K548" s="1001"/>
      <c r="L548" s="1001">
        <v>0</v>
      </c>
      <c r="M548" s="1001">
        <v>0</v>
      </c>
      <c r="N548" s="1001">
        <v>12</v>
      </c>
      <c r="O548" s="1001">
        <v>1000</v>
      </c>
      <c r="P548" s="1001"/>
      <c r="Q548" s="1001"/>
      <c r="R548" s="1001"/>
      <c r="S548" s="1004"/>
      <c r="T548" s="1004"/>
    </row>
    <row r="549" spans="2:22" s="1003" customFormat="1" ht="60" x14ac:dyDescent="0.25">
      <c r="B549" s="1063" t="s">
        <v>3296</v>
      </c>
      <c r="C549" s="1000" t="s">
        <v>3295</v>
      </c>
      <c r="D549" s="1000" t="s">
        <v>327</v>
      </c>
      <c r="E549" s="1001">
        <v>13</v>
      </c>
      <c r="F549" s="1001">
        <f>F550</f>
        <v>13</v>
      </c>
      <c r="G549" s="1001">
        <f t="shared" ref="G549:Q549" si="60">G550</f>
        <v>7000</v>
      </c>
      <c r="H549" s="1001">
        <f t="shared" si="60"/>
        <v>13</v>
      </c>
      <c r="I549" s="1001">
        <f>I550</f>
        <v>8000</v>
      </c>
      <c r="J549" s="1001">
        <f t="shared" si="60"/>
        <v>13</v>
      </c>
      <c r="K549" s="1001">
        <f>K550</f>
        <v>8800</v>
      </c>
      <c r="L549" s="1001">
        <f t="shared" si="60"/>
        <v>13</v>
      </c>
      <c r="M549" s="1001">
        <f t="shared" si="60"/>
        <v>9680</v>
      </c>
      <c r="N549" s="1001">
        <f t="shared" si="60"/>
        <v>13</v>
      </c>
      <c r="O549" s="1001">
        <f>O550</f>
        <v>10648</v>
      </c>
      <c r="P549" s="1001">
        <f t="shared" si="60"/>
        <v>13</v>
      </c>
      <c r="Q549" s="1001">
        <f t="shared" si="60"/>
        <v>11712</v>
      </c>
      <c r="R549" s="1001">
        <f>N549</f>
        <v>13</v>
      </c>
      <c r="S549" s="1004"/>
      <c r="T549" s="1004"/>
    </row>
    <row r="550" spans="2:22" s="1003" customFormat="1" x14ac:dyDescent="0.25">
      <c r="B550" s="1008" t="s">
        <v>383</v>
      </c>
      <c r="C550" s="1000" t="s">
        <v>3297</v>
      </c>
      <c r="D550" s="1000"/>
      <c r="E550" s="1001"/>
      <c r="F550" s="1001">
        <v>13</v>
      </c>
      <c r="G550" s="1001">
        <v>7000</v>
      </c>
      <c r="H550" s="1001">
        <v>13</v>
      </c>
      <c r="I550" s="1001">
        <v>8000</v>
      </c>
      <c r="J550" s="1001">
        <v>13</v>
      </c>
      <c r="K550" s="1001">
        <v>8800</v>
      </c>
      <c r="L550" s="1001">
        <v>13</v>
      </c>
      <c r="M550" s="1001">
        <v>9680</v>
      </c>
      <c r="N550" s="1001">
        <v>13</v>
      </c>
      <c r="O550" s="1001">
        <v>10648</v>
      </c>
      <c r="P550" s="1001">
        <v>13</v>
      </c>
      <c r="Q550" s="1001">
        <v>11712</v>
      </c>
      <c r="R550" s="1001"/>
      <c r="S550" s="1004"/>
      <c r="T550" s="1004"/>
    </row>
    <row r="551" spans="2:22" s="1003" customFormat="1" x14ac:dyDescent="0.25">
      <c r="B551" s="1027" t="s">
        <v>2651</v>
      </c>
      <c r="C551" s="1000"/>
      <c r="D551" s="1000"/>
      <c r="E551" s="1000"/>
      <c r="F551" s="1000"/>
      <c r="G551" s="1012">
        <f>G549+G547+G545+G543+G540+G538+G534+G532+G528+G526+G524+G516+G502</f>
        <v>274614</v>
      </c>
      <c r="H551" s="1000"/>
      <c r="I551" s="1012">
        <f>I549+I547+I545+I543+I540+I538+I534+I532+I528+I526+I524+I516+I502</f>
        <v>344500</v>
      </c>
      <c r="J551" s="1000"/>
      <c r="K551" s="1012">
        <f>K549+K547+K545+K543+K540+K538+K534+K532+K528+K526+K524+K516+K502</f>
        <v>328700</v>
      </c>
      <c r="L551" s="1000"/>
      <c r="M551" s="1012">
        <f>M549+M547+M545+M543+M540+M538+M534+M532+M528+M526+M524+M516+M502</f>
        <v>365940</v>
      </c>
      <c r="N551" s="1000"/>
      <c r="O551" s="1012">
        <f>O549+O547+O545+O543+O540+O538+O534+O532+O528+O526+O524+O516+O502</f>
        <v>403532</v>
      </c>
      <c r="P551" s="1000"/>
      <c r="Q551" s="1012">
        <f>Q549+Q547+Q545+Q543+Q540+Q538+Q534+Q532+Q528+Q526+Q524+Q516+Q502</f>
        <v>477394.1</v>
      </c>
      <c r="R551" s="1000"/>
      <c r="S551" s="1013"/>
      <c r="T551" s="1013"/>
    </row>
    <row r="552" spans="2:22" s="1003" customFormat="1" x14ac:dyDescent="0.25">
      <c r="B552" s="1005"/>
      <c r="C552" s="1100"/>
      <c r="D552" s="1000"/>
      <c r="E552" s="1001"/>
      <c r="F552" s="1001"/>
      <c r="G552" s="1001"/>
      <c r="H552" s="1001"/>
      <c r="I552" s="1001"/>
      <c r="J552" s="1001"/>
      <c r="K552" s="1001"/>
      <c r="L552" s="1001"/>
      <c r="M552" s="1001"/>
      <c r="N552" s="1001"/>
      <c r="O552" s="1001"/>
      <c r="P552" s="1001"/>
      <c r="Q552" s="1001"/>
      <c r="R552" s="1001"/>
      <c r="S552" s="1004"/>
      <c r="T552" s="1004"/>
    </row>
    <row r="553" spans="2:22" s="1003" customFormat="1" x14ac:dyDescent="0.25">
      <c r="B553" s="1167" t="s">
        <v>3474</v>
      </c>
      <c r="C553" s="1100"/>
      <c r="D553" s="1000"/>
      <c r="E553" s="1001"/>
      <c r="F553" s="1001"/>
      <c r="G553" s="1001"/>
      <c r="H553" s="1001"/>
      <c r="I553" s="1001"/>
      <c r="J553" s="1001"/>
      <c r="K553" s="1001"/>
      <c r="L553" s="1001"/>
      <c r="M553" s="1001"/>
      <c r="N553" s="1001"/>
      <c r="O553" s="1001"/>
      <c r="P553" s="1001"/>
      <c r="Q553" s="1001"/>
      <c r="R553" s="1001"/>
      <c r="S553" s="1004"/>
      <c r="T553" s="1004"/>
    </row>
    <row r="554" spans="2:22" s="1003" customFormat="1" ht="51" customHeight="1" x14ac:dyDescent="0.25">
      <c r="B554" s="998"/>
      <c r="C554" s="999" t="s">
        <v>3228</v>
      </c>
      <c r="D554" s="1000" t="s">
        <v>19</v>
      </c>
      <c r="E554" s="1001">
        <v>90</v>
      </c>
      <c r="F554" s="1001">
        <v>93</v>
      </c>
      <c r="G554" s="1001"/>
      <c r="H554" s="1001">
        <v>94</v>
      </c>
      <c r="I554" s="1001"/>
      <c r="J554" s="1001">
        <v>95</v>
      </c>
      <c r="K554" s="1001"/>
      <c r="L554" s="1001">
        <v>96</v>
      </c>
      <c r="M554" s="1001"/>
      <c r="N554" s="1001">
        <v>97</v>
      </c>
      <c r="O554" s="1001"/>
      <c r="P554" s="1001">
        <v>98</v>
      </c>
      <c r="Q554" s="1001"/>
      <c r="R554" s="1001">
        <v>97</v>
      </c>
      <c r="S554" s="1002"/>
      <c r="T554" s="1002"/>
    </row>
    <row r="555" spans="2:22" s="1003" customFormat="1" ht="63.75" x14ac:dyDescent="0.25">
      <c r="B555" s="1106" t="s">
        <v>3229</v>
      </c>
      <c r="C555" s="1000" t="s">
        <v>1488</v>
      </c>
      <c r="D555" s="1000" t="s">
        <v>19</v>
      </c>
      <c r="E555" s="1001">
        <v>100</v>
      </c>
      <c r="F555" s="1001">
        <v>100</v>
      </c>
      <c r="G555" s="1001">
        <f>SUM(G556:G568)</f>
        <v>98368</v>
      </c>
      <c r="H555" s="1001">
        <v>100</v>
      </c>
      <c r="I555" s="1001">
        <f>SUM(I556:I568)</f>
        <v>103500</v>
      </c>
      <c r="J555" s="1001">
        <v>100</v>
      </c>
      <c r="K555" s="1001">
        <f>SUM(K556:K568)</f>
        <v>118400</v>
      </c>
      <c r="L555" s="1001">
        <v>100</v>
      </c>
      <c r="M555" s="1001">
        <f>SUM(M556:M568)</f>
        <v>132600</v>
      </c>
      <c r="N555" s="1001">
        <v>100</v>
      </c>
      <c r="O555" s="1001">
        <f>SUM(O556:O568)</f>
        <v>145600</v>
      </c>
      <c r="P555" s="1001">
        <v>100</v>
      </c>
      <c r="Q555" s="1001">
        <f>SUM(Q556:Q568)</f>
        <v>158600</v>
      </c>
      <c r="R555" s="1001">
        <v>100</v>
      </c>
      <c r="S555" s="1004"/>
      <c r="T555" s="1004"/>
    </row>
    <row r="556" spans="2:22" s="1003" customFormat="1" ht="25.5" x14ac:dyDescent="0.25">
      <c r="B556" s="998" t="s">
        <v>124</v>
      </c>
      <c r="C556" s="1100" t="s">
        <v>3230</v>
      </c>
      <c r="D556" s="1000" t="s">
        <v>40</v>
      </c>
      <c r="E556" s="1001"/>
      <c r="F556" s="1001">
        <v>12</v>
      </c>
      <c r="G556" s="1001">
        <v>1200</v>
      </c>
      <c r="H556" s="1001">
        <v>12</v>
      </c>
      <c r="I556" s="1001">
        <v>1400</v>
      </c>
      <c r="J556" s="1001">
        <v>12</v>
      </c>
      <c r="K556" s="1001">
        <v>1500</v>
      </c>
      <c r="L556" s="1001">
        <v>12</v>
      </c>
      <c r="M556" s="1001">
        <v>1800</v>
      </c>
      <c r="N556" s="1001">
        <v>12</v>
      </c>
      <c r="O556" s="1001">
        <v>2100</v>
      </c>
      <c r="P556" s="1001">
        <v>12</v>
      </c>
      <c r="Q556" s="1001">
        <v>2400</v>
      </c>
      <c r="R556" s="1001"/>
      <c r="S556" s="1004"/>
      <c r="T556" s="1004"/>
    </row>
    <row r="557" spans="2:22" s="1003" customFormat="1" ht="51" x14ac:dyDescent="0.25">
      <c r="B557" s="1005" t="s">
        <v>126</v>
      </c>
      <c r="C557" s="1100" t="s">
        <v>2518</v>
      </c>
      <c r="D557" s="1000" t="s">
        <v>40</v>
      </c>
      <c r="E557" s="1001"/>
      <c r="F557" s="1001">
        <v>12</v>
      </c>
      <c r="G557" s="1001">
        <v>9968</v>
      </c>
      <c r="H557" s="1001">
        <v>12</v>
      </c>
      <c r="I557" s="1001">
        <v>10500</v>
      </c>
      <c r="J557" s="1001">
        <v>12</v>
      </c>
      <c r="K557" s="1001">
        <v>12000</v>
      </c>
      <c r="L557" s="1001">
        <v>12</v>
      </c>
      <c r="M557" s="1001">
        <v>13000</v>
      </c>
      <c r="N557" s="1001">
        <v>12</v>
      </c>
      <c r="O557" s="1001">
        <v>14000</v>
      </c>
      <c r="P557" s="1001">
        <v>12</v>
      </c>
      <c r="Q557" s="1001">
        <v>14500</v>
      </c>
      <c r="R557" s="1001"/>
      <c r="S557" s="1004"/>
      <c r="T557" s="1004"/>
    </row>
    <row r="558" spans="2:22" s="1003" customFormat="1" ht="76.5" x14ac:dyDescent="0.25">
      <c r="B558" s="1005" t="s">
        <v>3231</v>
      </c>
      <c r="C558" s="1100" t="s">
        <v>2519</v>
      </c>
      <c r="D558" s="1000" t="s">
        <v>40</v>
      </c>
      <c r="E558" s="1001"/>
      <c r="F558" s="1001">
        <v>12</v>
      </c>
      <c r="G558" s="1001">
        <v>21500</v>
      </c>
      <c r="H558" s="1001">
        <v>12</v>
      </c>
      <c r="I558" s="1001">
        <v>22500</v>
      </c>
      <c r="J558" s="1001">
        <v>12</v>
      </c>
      <c r="K558" s="1001">
        <v>24000</v>
      </c>
      <c r="L558" s="1001">
        <v>12</v>
      </c>
      <c r="M558" s="1001">
        <v>25000</v>
      </c>
      <c r="N558" s="1001">
        <v>12</v>
      </c>
      <c r="O558" s="1001">
        <v>26000</v>
      </c>
      <c r="P558" s="1001">
        <v>12</v>
      </c>
      <c r="Q558" s="1001">
        <v>27000</v>
      </c>
      <c r="R558" s="1001"/>
      <c r="S558" s="1004"/>
      <c r="T558" s="1004"/>
    </row>
    <row r="559" spans="2:22" s="1003" customFormat="1" ht="38.25" x14ac:dyDescent="0.25">
      <c r="B559" s="1005" t="s">
        <v>45</v>
      </c>
      <c r="C559" s="1100" t="s">
        <v>2520</v>
      </c>
      <c r="D559" s="1000" t="s">
        <v>40</v>
      </c>
      <c r="E559" s="1001"/>
      <c r="F559" s="1001">
        <v>12</v>
      </c>
      <c r="G559" s="1001">
        <v>17000</v>
      </c>
      <c r="H559" s="1001">
        <v>12</v>
      </c>
      <c r="I559" s="1001">
        <v>18000</v>
      </c>
      <c r="J559" s="1001">
        <v>12</v>
      </c>
      <c r="K559" s="1001">
        <v>20000</v>
      </c>
      <c r="L559" s="1001">
        <v>12</v>
      </c>
      <c r="M559" s="1001">
        <v>22000</v>
      </c>
      <c r="N559" s="1001">
        <v>12</v>
      </c>
      <c r="O559" s="1001">
        <v>24000</v>
      </c>
      <c r="P559" s="1001">
        <v>12</v>
      </c>
      <c r="Q559" s="1001">
        <v>26000</v>
      </c>
      <c r="R559" s="1001"/>
      <c r="S559" s="1004"/>
      <c r="T559" s="1004"/>
    </row>
    <row r="560" spans="2:22" s="1003" customFormat="1" ht="38.25" x14ac:dyDescent="0.25">
      <c r="B560" s="1005" t="s">
        <v>47</v>
      </c>
      <c r="C560" s="1100" t="s">
        <v>2521</v>
      </c>
      <c r="D560" s="1000" t="s">
        <v>40</v>
      </c>
      <c r="E560" s="1001"/>
      <c r="F560" s="1001">
        <v>12</v>
      </c>
      <c r="G560" s="1001">
        <v>2500</v>
      </c>
      <c r="H560" s="1001">
        <v>12</v>
      </c>
      <c r="I560" s="1001">
        <v>2500</v>
      </c>
      <c r="J560" s="1001">
        <v>12</v>
      </c>
      <c r="K560" s="1001">
        <v>3000</v>
      </c>
      <c r="L560" s="1001">
        <v>12</v>
      </c>
      <c r="M560" s="1001">
        <v>3500</v>
      </c>
      <c r="N560" s="1001">
        <v>12</v>
      </c>
      <c r="O560" s="1001">
        <v>4000</v>
      </c>
      <c r="P560" s="1001">
        <v>12</v>
      </c>
      <c r="Q560" s="1001">
        <v>4500</v>
      </c>
      <c r="R560" s="1001"/>
      <c r="S560" s="1004"/>
      <c r="T560" s="1004"/>
    </row>
    <row r="561" spans="2:20" s="1003" customFormat="1" ht="51" x14ac:dyDescent="0.25">
      <c r="B561" s="1005" t="s">
        <v>923</v>
      </c>
      <c r="C561" s="1100" t="s">
        <v>2522</v>
      </c>
      <c r="D561" s="1000" t="s">
        <v>40</v>
      </c>
      <c r="E561" s="1001"/>
      <c r="F561" s="1001">
        <v>12</v>
      </c>
      <c r="G561" s="1001">
        <v>6000</v>
      </c>
      <c r="H561" s="1001">
        <v>12</v>
      </c>
      <c r="I561" s="1001">
        <v>6000</v>
      </c>
      <c r="J561" s="1001">
        <v>12</v>
      </c>
      <c r="K561" s="1001">
        <v>7500</v>
      </c>
      <c r="L561" s="1001">
        <v>12</v>
      </c>
      <c r="M561" s="1001">
        <v>9000</v>
      </c>
      <c r="N561" s="1001">
        <v>12</v>
      </c>
      <c r="O561" s="1001">
        <v>10000</v>
      </c>
      <c r="P561" s="1001">
        <v>12</v>
      </c>
      <c r="Q561" s="1001">
        <v>12000</v>
      </c>
      <c r="R561" s="1001"/>
      <c r="S561" s="1004"/>
      <c r="T561" s="1004"/>
    </row>
    <row r="562" spans="2:20" s="1003" customFormat="1" ht="38.25" x14ac:dyDescent="0.25">
      <c r="B562" s="1005" t="s">
        <v>50</v>
      </c>
      <c r="C562" s="1100" t="s">
        <v>2523</v>
      </c>
      <c r="D562" s="1000" t="s">
        <v>40</v>
      </c>
      <c r="E562" s="1001"/>
      <c r="F562" s="1001">
        <v>12</v>
      </c>
      <c r="G562" s="1001">
        <v>10000</v>
      </c>
      <c r="H562" s="1001">
        <v>12</v>
      </c>
      <c r="I562" s="1001">
        <v>11000</v>
      </c>
      <c r="J562" s="1001">
        <v>12</v>
      </c>
      <c r="K562" s="1001">
        <v>12000</v>
      </c>
      <c r="L562" s="1001">
        <v>12</v>
      </c>
      <c r="M562" s="1001">
        <v>13500</v>
      </c>
      <c r="N562" s="1001">
        <v>12</v>
      </c>
      <c r="O562" s="1001">
        <v>14500</v>
      </c>
      <c r="P562" s="1001">
        <v>12</v>
      </c>
      <c r="Q562" s="1001">
        <v>15500</v>
      </c>
      <c r="R562" s="1001"/>
      <c r="S562" s="1004"/>
      <c r="T562" s="1004"/>
    </row>
    <row r="563" spans="2:20" s="1003" customFormat="1" ht="51" x14ac:dyDescent="0.25">
      <c r="B563" s="1005" t="s">
        <v>52</v>
      </c>
      <c r="C563" s="1100" t="s">
        <v>2524</v>
      </c>
      <c r="D563" s="1000" t="s">
        <v>40</v>
      </c>
      <c r="E563" s="1001"/>
      <c r="F563" s="1001">
        <v>12</v>
      </c>
      <c r="G563" s="1001">
        <v>9000</v>
      </c>
      <c r="H563" s="1001">
        <v>12</v>
      </c>
      <c r="I563" s="1001">
        <v>9000</v>
      </c>
      <c r="J563" s="1001">
        <v>12</v>
      </c>
      <c r="K563" s="1001">
        <v>10000</v>
      </c>
      <c r="L563" s="1001">
        <v>12</v>
      </c>
      <c r="M563" s="1001">
        <v>11500</v>
      </c>
      <c r="N563" s="1001">
        <v>12</v>
      </c>
      <c r="O563" s="1001">
        <v>13000</v>
      </c>
      <c r="P563" s="1001">
        <v>12</v>
      </c>
      <c r="Q563" s="1001">
        <v>14500</v>
      </c>
      <c r="R563" s="1001"/>
      <c r="S563" s="1004"/>
      <c r="T563" s="1004"/>
    </row>
    <row r="564" spans="2:20" s="1003" customFormat="1" ht="76.5" x14ac:dyDescent="0.25">
      <c r="B564" s="1005" t="s">
        <v>782</v>
      </c>
      <c r="C564" s="1100" t="s">
        <v>2525</v>
      </c>
      <c r="D564" s="1000" t="s">
        <v>40</v>
      </c>
      <c r="E564" s="1001"/>
      <c r="F564" s="1001">
        <v>12</v>
      </c>
      <c r="G564" s="1001">
        <v>2500</v>
      </c>
      <c r="H564" s="1001">
        <v>12</v>
      </c>
      <c r="I564" s="1001">
        <v>2900</v>
      </c>
      <c r="J564" s="1001">
        <v>12</v>
      </c>
      <c r="K564" s="1001">
        <v>3500</v>
      </c>
      <c r="L564" s="1001">
        <v>12</v>
      </c>
      <c r="M564" s="1001">
        <v>4000</v>
      </c>
      <c r="N564" s="1001">
        <v>12</v>
      </c>
      <c r="O564" s="1001">
        <v>4500</v>
      </c>
      <c r="P564" s="1001">
        <v>12</v>
      </c>
      <c r="Q564" s="1001">
        <v>5000</v>
      </c>
      <c r="R564" s="1001"/>
      <c r="S564" s="1004"/>
      <c r="T564" s="1004"/>
    </row>
    <row r="565" spans="2:20" s="1003" customFormat="1" ht="63.75" x14ac:dyDescent="0.25">
      <c r="B565" s="1005" t="s">
        <v>3232</v>
      </c>
      <c r="C565" s="1100" t="s">
        <v>2526</v>
      </c>
      <c r="D565" s="1000" t="s">
        <v>40</v>
      </c>
      <c r="E565" s="1001"/>
      <c r="F565" s="1001">
        <v>12</v>
      </c>
      <c r="G565" s="1001">
        <v>1200</v>
      </c>
      <c r="H565" s="1001">
        <v>12</v>
      </c>
      <c r="I565" s="1001">
        <v>1200</v>
      </c>
      <c r="J565" s="1001">
        <v>12</v>
      </c>
      <c r="K565" s="1001">
        <v>1400</v>
      </c>
      <c r="L565" s="1001">
        <v>12</v>
      </c>
      <c r="M565" s="1001">
        <v>1800</v>
      </c>
      <c r="N565" s="1001">
        <v>12</v>
      </c>
      <c r="O565" s="1001">
        <v>2000</v>
      </c>
      <c r="P565" s="1001">
        <v>12</v>
      </c>
      <c r="Q565" s="1001">
        <v>2200</v>
      </c>
      <c r="R565" s="1001"/>
      <c r="S565" s="1004"/>
      <c r="T565" s="1004"/>
    </row>
    <row r="566" spans="2:20" s="1003" customFormat="1" ht="38.25" x14ac:dyDescent="0.25">
      <c r="B566" s="1005" t="s">
        <v>58</v>
      </c>
      <c r="C566" s="1100" t="s">
        <v>2527</v>
      </c>
      <c r="D566" s="1000" t="s">
        <v>40</v>
      </c>
      <c r="E566" s="1001"/>
      <c r="F566" s="1001">
        <v>12</v>
      </c>
      <c r="G566" s="1001">
        <v>8500</v>
      </c>
      <c r="H566" s="1001">
        <v>12</v>
      </c>
      <c r="I566" s="1001">
        <v>8500</v>
      </c>
      <c r="J566" s="1001">
        <v>12</v>
      </c>
      <c r="K566" s="1001">
        <v>10000</v>
      </c>
      <c r="L566" s="1001">
        <v>12</v>
      </c>
      <c r="M566" s="1001">
        <v>12000</v>
      </c>
      <c r="N566" s="1001">
        <v>12</v>
      </c>
      <c r="O566" s="1001">
        <v>14000</v>
      </c>
      <c r="P566" s="1001">
        <v>12</v>
      </c>
      <c r="Q566" s="1001">
        <v>16000</v>
      </c>
      <c r="R566" s="1001"/>
      <c r="S566" s="1004"/>
      <c r="T566" s="1004"/>
    </row>
    <row r="567" spans="2:20" s="1003" customFormat="1" ht="51" x14ac:dyDescent="0.25">
      <c r="B567" s="1005" t="s">
        <v>3233</v>
      </c>
      <c r="C567" s="1100" t="s">
        <v>2529</v>
      </c>
      <c r="D567" s="1000" t="s">
        <v>40</v>
      </c>
      <c r="E567" s="1001"/>
      <c r="F567" s="1001">
        <v>12</v>
      </c>
      <c r="G567" s="1001">
        <v>9000</v>
      </c>
      <c r="H567" s="1001">
        <v>12</v>
      </c>
      <c r="I567" s="1001">
        <v>10000</v>
      </c>
      <c r="J567" s="1001">
        <v>12</v>
      </c>
      <c r="K567" s="1001">
        <v>11000</v>
      </c>
      <c r="L567" s="1001">
        <v>12</v>
      </c>
      <c r="M567" s="1001">
        <v>12500</v>
      </c>
      <c r="N567" s="1001">
        <v>12</v>
      </c>
      <c r="O567" s="1001">
        <v>14000</v>
      </c>
      <c r="P567" s="1001">
        <v>12</v>
      </c>
      <c r="Q567" s="1001">
        <v>15000</v>
      </c>
      <c r="R567" s="1001"/>
      <c r="S567" s="1004"/>
      <c r="T567" s="1004"/>
    </row>
    <row r="568" spans="2:20" s="1003" customFormat="1" ht="51" x14ac:dyDescent="0.25">
      <c r="B568" s="1102" t="s">
        <v>137</v>
      </c>
      <c r="C568" s="1100" t="s">
        <v>2528</v>
      </c>
      <c r="D568" s="1000" t="s">
        <v>40</v>
      </c>
      <c r="E568" s="1001"/>
      <c r="F568" s="1001">
        <v>12</v>
      </c>
      <c r="G568" s="1001">
        <v>0</v>
      </c>
      <c r="H568" s="1001">
        <v>12</v>
      </c>
      <c r="I568" s="1001"/>
      <c r="J568" s="1001">
        <v>12</v>
      </c>
      <c r="K568" s="1001">
        <v>2500</v>
      </c>
      <c r="L568" s="1001">
        <v>12</v>
      </c>
      <c r="M568" s="1001">
        <v>3000</v>
      </c>
      <c r="N568" s="1001">
        <v>12</v>
      </c>
      <c r="O568" s="1001">
        <v>3500</v>
      </c>
      <c r="P568" s="1001">
        <v>12</v>
      </c>
      <c r="Q568" s="1001">
        <v>4000</v>
      </c>
      <c r="R568" s="1001"/>
      <c r="S568" s="1004"/>
      <c r="T568" s="1004"/>
    </row>
    <row r="569" spans="2:20" s="1003" customFormat="1" ht="38.25" customHeight="1" x14ac:dyDescent="0.25">
      <c r="B569" s="1061" t="s">
        <v>65</v>
      </c>
      <c r="C569" s="999" t="s">
        <v>3234</v>
      </c>
      <c r="D569" s="999" t="s">
        <v>19</v>
      </c>
      <c r="E569" s="1001">
        <v>70</v>
      </c>
      <c r="F569" s="1001">
        <v>3</v>
      </c>
      <c r="G569" s="2114">
        <f>G571+G572+G573+G574+G575+G576</f>
        <v>30081</v>
      </c>
      <c r="H569" s="1001">
        <v>2</v>
      </c>
      <c r="I569" s="2114">
        <f>SUM(I571:I576)</f>
        <v>60000</v>
      </c>
      <c r="J569" s="1001">
        <v>3</v>
      </c>
      <c r="K569" s="2114">
        <f>SUM(K571:K576)</f>
        <v>57000</v>
      </c>
      <c r="L569" s="1001">
        <v>2</v>
      </c>
      <c r="M569" s="2114">
        <f>SUM(M571:M576)</f>
        <v>48500</v>
      </c>
      <c r="N569" s="1001">
        <v>3</v>
      </c>
      <c r="O569" s="2114">
        <f>SUM(O571:O576)</f>
        <v>55000</v>
      </c>
      <c r="P569" s="1001">
        <v>2</v>
      </c>
      <c r="Q569" s="2114">
        <f>SUM(Q571:Q576)</f>
        <v>73000</v>
      </c>
      <c r="R569" s="1001">
        <f>E569+F569+H569+J569+L569+N569</f>
        <v>83</v>
      </c>
      <c r="S569" s="1004"/>
      <c r="T569" s="1004"/>
    </row>
    <row r="570" spans="2:20" s="1003" customFormat="1" ht="38.25" x14ac:dyDescent="0.25">
      <c r="B570" s="1067"/>
      <c r="C570" s="999" t="s">
        <v>3235</v>
      </c>
      <c r="D570" s="999" t="s">
        <v>19</v>
      </c>
      <c r="E570" s="1001">
        <v>100</v>
      </c>
      <c r="F570" s="1001">
        <v>100</v>
      </c>
      <c r="G570" s="2114"/>
      <c r="H570" s="1001">
        <v>100</v>
      </c>
      <c r="I570" s="2114"/>
      <c r="J570" s="1001">
        <v>100</v>
      </c>
      <c r="K570" s="2114"/>
      <c r="L570" s="1001">
        <v>100</v>
      </c>
      <c r="M570" s="2114"/>
      <c r="N570" s="1001">
        <v>100</v>
      </c>
      <c r="O570" s="2114"/>
      <c r="P570" s="1001">
        <v>100</v>
      </c>
      <c r="Q570" s="2114"/>
      <c r="R570" s="1001">
        <v>100</v>
      </c>
      <c r="S570" s="1004"/>
      <c r="T570" s="1004"/>
    </row>
    <row r="571" spans="2:20" s="1003" customFormat="1" ht="38.25" x14ac:dyDescent="0.25">
      <c r="B571" s="1007" t="s">
        <v>144</v>
      </c>
      <c r="C571" s="999" t="s">
        <v>3408</v>
      </c>
      <c r="D571" s="999" t="s">
        <v>69</v>
      </c>
      <c r="E571" s="1001"/>
      <c r="F571" s="1001">
        <v>2</v>
      </c>
      <c r="G571" s="1001">
        <v>0</v>
      </c>
      <c r="H571" s="1001">
        <v>2</v>
      </c>
      <c r="I571" s="1001">
        <v>12000</v>
      </c>
      <c r="J571" s="1001">
        <v>2</v>
      </c>
      <c r="K571" s="1001">
        <v>15000</v>
      </c>
      <c r="L571" s="1001">
        <v>2</v>
      </c>
      <c r="M571" s="1001">
        <v>15000</v>
      </c>
      <c r="N571" s="1001">
        <v>2</v>
      </c>
      <c r="O571" s="1001">
        <v>15000</v>
      </c>
      <c r="P571" s="1001">
        <v>2</v>
      </c>
      <c r="Q571" s="1001">
        <v>20000</v>
      </c>
      <c r="R571" s="1001"/>
      <c r="S571" s="1004"/>
      <c r="T571" s="1004"/>
    </row>
    <row r="572" spans="2:20" s="1003" customFormat="1" ht="25.5" x14ac:dyDescent="0.25">
      <c r="B572" s="998" t="s">
        <v>3236</v>
      </c>
      <c r="C572" s="1000" t="s">
        <v>3409</v>
      </c>
      <c r="D572" s="1000" t="s">
        <v>69</v>
      </c>
      <c r="E572" s="1001"/>
      <c r="F572" s="1001">
        <v>2</v>
      </c>
      <c r="G572" s="1001">
        <v>7581</v>
      </c>
      <c r="H572" s="1001">
        <v>2</v>
      </c>
      <c r="I572" s="1001">
        <v>15000</v>
      </c>
      <c r="J572" s="1001">
        <v>2</v>
      </c>
      <c r="K572" s="1001">
        <v>15000</v>
      </c>
      <c r="L572" s="1001">
        <v>1</v>
      </c>
      <c r="M572" s="1001">
        <v>15000</v>
      </c>
      <c r="N572" s="1001">
        <v>2</v>
      </c>
      <c r="O572" s="1001">
        <v>20000</v>
      </c>
      <c r="P572" s="1001">
        <v>2</v>
      </c>
      <c r="Q572" s="1001">
        <v>22000</v>
      </c>
      <c r="R572" s="1001"/>
      <c r="S572" s="1004"/>
      <c r="T572" s="1004"/>
    </row>
    <row r="573" spans="2:20" s="1003" customFormat="1" ht="25.5" x14ac:dyDescent="0.25">
      <c r="B573" s="998" t="s">
        <v>3238</v>
      </c>
      <c r="C573" s="1000" t="s">
        <v>3461</v>
      </c>
      <c r="D573" s="1000" t="s">
        <v>75</v>
      </c>
      <c r="E573" s="1001"/>
      <c r="F573" s="1001">
        <v>1</v>
      </c>
      <c r="G573" s="1001">
        <v>5000</v>
      </c>
      <c r="H573" s="1001">
        <v>1</v>
      </c>
      <c r="I573" s="1001">
        <v>8000</v>
      </c>
      <c r="J573" s="1001">
        <v>2</v>
      </c>
      <c r="K573" s="1001">
        <v>16000</v>
      </c>
      <c r="L573" s="1001">
        <v>1</v>
      </c>
      <c r="M573" s="1001">
        <v>8500</v>
      </c>
      <c r="N573" s="1001">
        <v>1</v>
      </c>
      <c r="O573" s="1001">
        <v>8500</v>
      </c>
      <c r="P573" s="1001">
        <v>2</v>
      </c>
      <c r="Q573" s="1001">
        <v>18000</v>
      </c>
      <c r="R573" s="1001"/>
      <c r="S573" s="1004"/>
      <c r="T573" s="1004"/>
    </row>
    <row r="574" spans="2:20" s="1003" customFormat="1" ht="38.25" x14ac:dyDescent="0.25">
      <c r="B574" s="1007" t="s">
        <v>3240</v>
      </c>
      <c r="C574" s="999" t="s">
        <v>3241</v>
      </c>
      <c r="D574" s="999" t="s">
        <v>40</v>
      </c>
      <c r="E574" s="1001"/>
      <c r="F574" s="1001">
        <v>12</v>
      </c>
      <c r="G574" s="1001">
        <v>2000</v>
      </c>
      <c r="H574" s="1001">
        <v>12</v>
      </c>
      <c r="I574" s="1001">
        <v>2500</v>
      </c>
      <c r="J574" s="1001">
        <v>12</v>
      </c>
      <c r="K574" s="1001">
        <v>3000</v>
      </c>
      <c r="L574" s="1001">
        <v>12</v>
      </c>
      <c r="M574" s="1001">
        <v>3500</v>
      </c>
      <c r="N574" s="1001">
        <v>12</v>
      </c>
      <c r="O574" s="1001">
        <v>4000</v>
      </c>
      <c r="P574" s="1001">
        <v>12</v>
      </c>
      <c r="Q574" s="1001">
        <v>4500</v>
      </c>
      <c r="R574" s="1001"/>
      <c r="S574" s="1004"/>
      <c r="T574" s="1004"/>
    </row>
    <row r="575" spans="2:20" s="1003" customFormat="1" ht="38.25" x14ac:dyDescent="0.25">
      <c r="B575" s="1007" t="s">
        <v>3242</v>
      </c>
      <c r="C575" s="999" t="s">
        <v>3160</v>
      </c>
      <c r="D575" s="999" t="s">
        <v>40</v>
      </c>
      <c r="E575" s="1001"/>
      <c r="F575" s="1001">
        <v>12</v>
      </c>
      <c r="G575" s="1001">
        <v>14500</v>
      </c>
      <c r="H575" s="1001">
        <v>12</v>
      </c>
      <c r="I575" s="1001">
        <v>20000</v>
      </c>
      <c r="J575" s="1001">
        <v>12</v>
      </c>
      <c r="K575" s="1001">
        <v>5000</v>
      </c>
      <c r="L575" s="1001">
        <v>12</v>
      </c>
      <c r="M575" s="1001">
        <v>3000</v>
      </c>
      <c r="N575" s="1001">
        <v>12</v>
      </c>
      <c r="O575" s="1001">
        <v>3500</v>
      </c>
      <c r="P575" s="1001">
        <v>12</v>
      </c>
      <c r="Q575" s="1001">
        <v>4000</v>
      </c>
      <c r="R575" s="1001"/>
      <c r="S575" s="1004"/>
      <c r="T575" s="1004"/>
    </row>
    <row r="576" spans="2:20" s="1003" customFormat="1" ht="38.25" x14ac:dyDescent="0.25">
      <c r="B576" s="1007" t="s">
        <v>3243</v>
      </c>
      <c r="C576" s="999" t="s">
        <v>3244</v>
      </c>
      <c r="D576" s="999" t="s">
        <v>40</v>
      </c>
      <c r="E576" s="1001"/>
      <c r="F576" s="1001">
        <v>12</v>
      </c>
      <c r="G576" s="1001">
        <v>1000</v>
      </c>
      <c r="H576" s="1001">
        <v>12</v>
      </c>
      <c r="I576" s="1001">
        <v>2500</v>
      </c>
      <c r="J576" s="1001">
        <v>12</v>
      </c>
      <c r="K576" s="1001">
        <v>3000</v>
      </c>
      <c r="L576" s="1001">
        <v>12</v>
      </c>
      <c r="M576" s="1001">
        <v>3500</v>
      </c>
      <c r="N576" s="1001">
        <v>12</v>
      </c>
      <c r="O576" s="1001">
        <v>4000</v>
      </c>
      <c r="P576" s="1001">
        <v>12</v>
      </c>
      <c r="Q576" s="1001">
        <v>4500</v>
      </c>
      <c r="R576" s="1001"/>
      <c r="S576" s="1004"/>
      <c r="T576" s="1004"/>
    </row>
    <row r="577" spans="2:20" s="1003" customFormat="1" ht="63.75" x14ac:dyDescent="0.25">
      <c r="B577" s="1106" t="s">
        <v>3245</v>
      </c>
      <c r="C577" s="1000" t="s">
        <v>3246</v>
      </c>
      <c r="D577" s="1000" t="s">
        <v>79</v>
      </c>
      <c r="E577" s="1001">
        <v>10</v>
      </c>
      <c r="F577" s="1001">
        <v>3</v>
      </c>
      <c r="G577" s="1001">
        <f>G578</f>
        <v>4500</v>
      </c>
      <c r="H577" s="1001">
        <v>3</v>
      </c>
      <c r="I577" s="1001">
        <v>5000</v>
      </c>
      <c r="J577" s="1001">
        <v>3</v>
      </c>
      <c r="K577" s="1001">
        <f>K578</f>
        <v>6000</v>
      </c>
      <c r="L577" s="1001">
        <v>3</v>
      </c>
      <c r="M577" s="1001">
        <f>M578</f>
        <v>6500</v>
      </c>
      <c r="N577" s="1001">
        <v>3</v>
      </c>
      <c r="O577" s="1001">
        <f>O578</f>
        <v>7000</v>
      </c>
      <c r="P577" s="1001">
        <v>3</v>
      </c>
      <c r="Q577" s="1001">
        <f>Q578</f>
        <v>7500</v>
      </c>
      <c r="R577" s="1001">
        <f>E577+F577+H577+J577+L577+N577</f>
        <v>25</v>
      </c>
      <c r="S577" s="1004"/>
      <c r="T577" s="1004"/>
    </row>
    <row r="578" spans="2:20" s="1003" customFormat="1" ht="102" x14ac:dyDescent="0.25">
      <c r="B578" s="998" t="s">
        <v>80</v>
      </c>
      <c r="C578" s="1000" t="s">
        <v>3247</v>
      </c>
      <c r="D578" s="1000" t="s">
        <v>79</v>
      </c>
      <c r="E578" s="1001"/>
      <c r="F578" s="1001">
        <v>2</v>
      </c>
      <c r="G578" s="1001">
        <v>4500</v>
      </c>
      <c r="H578" s="1001">
        <v>2</v>
      </c>
      <c r="I578" s="1001">
        <v>5500</v>
      </c>
      <c r="J578" s="1001">
        <v>2</v>
      </c>
      <c r="K578" s="1001">
        <v>6000</v>
      </c>
      <c r="L578" s="1001">
        <v>2</v>
      </c>
      <c r="M578" s="1001">
        <v>6500</v>
      </c>
      <c r="N578" s="1001">
        <v>2</v>
      </c>
      <c r="O578" s="1001">
        <v>7000</v>
      </c>
      <c r="P578" s="1001">
        <v>2</v>
      </c>
      <c r="Q578" s="1001">
        <v>7500</v>
      </c>
      <c r="R578" s="1001"/>
      <c r="S578" s="1004"/>
      <c r="T578" s="1004"/>
    </row>
    <row r="579" spans="2:20" s="1003" customFormat="1" ht="48" x14ac:dyDescent="0.25">
      <c r="B579" s="1106" t="s">
        <v>3248</v>
      </c>
      <c r="C579" s="1000" t="s">
        <v>3249</v>
      </c>
      <c r="D579" s="1000" t="s">
        <v>79</v>
      </c>
      <c r="E579" s="1001">
        <v>5</v>
      </c>
      <c r="F579" s="1001">
        <v>1</v>
      </c>
      <c r="G579" s="1001">
        <f>G580</f>
        <v>9500</v>
      </c>
      <c r="H579" s="1001">
        <v>1</v>
      </c>
      <c r="I579" s="1001">
        <f>I580</f>
        <v>11000</v>
      </c>
      <c r="J579" s="1001">
        <v>1</v>
      </c>
      <c r="K579" s="1001">
        <f>K580</f>
        <v>13000</v>
      </c>
      <c r="L579" s="1001">
        <v>1</v>
      </c>
      <c r="M579" s="1001">
        <f>M580</f>
        <v>15000</v>
      </c>
      <c r="N579" s="1001">
        <v>1</v>
      </c>
      <c r="O579" s="1001">
        <f>O580</f>
        <v>17000</v>
      </c>
      <c r="P579" s="1001">
        <v>1</v>
      </c>
      <c r="Q579" s="1001">
        <f>Q580</f>
        <v>18000</v>
      </c>
      <c r="R579" s="1001">
        <f>E579+F579+H579+J579+L579+N579</f>
        <v>10</v>
      </c>
      <c r="S579" s="1004"/>
      <c r="T579" s="1004"/>
    </row>
    <row r="580" spans="2:20" s="1003" customFormat="1" ht="63.75" x14ac:dyDescent="0.25">
      <c r="B580" s="998" t="s">
        <v>1712</v>
      </c>
      <c r="C580" s="1000" t="s">
        <v>3250</v>
      </c>
      <c r="D580" s="1000"/>
      <c r="E580" s="1001"/>
      <c r="F580" s="1001">
        <v>1</v>
      </c>
      <c r="G580" s="1001">
        <v>9500</v>
      </c>
      <c r="H580" s="1001">
        <v>1</v>
      </c>
      <c r="I580" s="1001">
        <v>11000</v>
      </c>
      <c r="J580" s="1001">
        <v>1</v>
      </c>
      <c r="K580" s="1001">
        <v>13000</v>
      </c>
      <c r="L580" s="1001">
        <v>1</v>
      </c>
      <c r="M580" s="1001">
        <v>15000</v>
      </c>
      <c r="N580" s="1001">
        <v>1</v>
      </c>
      <c r="O580" s="1001">
        <v>17000</v>
      </c>
      <c r="P580" s="1001">
        <v>1</v>
      </c>
      <c r="Q580" s="1001">
        <v>18000</v>
      </c>
      <c r="R580" s="1001"/>
      <c r="S580" s="1004"/>
      <c r="T580" s="1004"/>
    </row>
    <row r="581" spans="2:20" s="1003" customFormat="1" ht="63.75" customHeight="1" x14ac:dyDescent="0.25">
      <c r="B581" s="1065" t="s">
        <v>3251</v>
      </c>
      <c r="C581" s="1000" t="s">
        <v>3252</v>
      </c>
      <c r="D581" s="1000" t="s">
        <v>79</v>
      </c>
      <c r="E581" s="1001">
        <v>5</v>
      </c>
      <c r="F581" s="1001">
        <v>1</v>
      </c>
      <c r="G581" s="2114">
        <f>SUM(G583:G583)</f>
        <v>20000</v>
      </c>
      <c r="H581" s="1001">
        <v>1</v>
      </c>
      <c r="I581" s="2114">
        <f>SUM(I583:I583)</f>
        <v>24000</v>
      </c>
      <c r="J581" s="1001">
        <v>1</v>
      </c>
      <c r="K581" s="2114">
        <f>SUM(K583:K583)</f>
        <v>26000</v>
      </c>
      <c r="L581" s="1001">
        <v>1</v>
      </c>
      <c r="M581" s="2114">
        <f>SUM(M583:M583)</f>
        <v>28000</v>
      </c>
      <c r="N581" s="1001">
        <v>1</v>
      </c>
      <c r="O581" s="2114">
        <f>SUM(O583:O583)</f>
        <v>30000</v>
      </c>
      <c r="P581" s="1001">
        <v>1</v>
      </c>
      <c r="Q581" s="2114">
        <f>SUM(Q583:Q583)</f>
        <v>33000</v>
      </c>
      <c r="R581" s="1001">
        <f>E581+F581+H581+J581+L581+N581</f>
        <v>10</v>
      </c>
      <c r="S581" s="1004"/>
      <c r="T581" s="1004"/>
    </row>
    <row r="582" spans="2:20" s="1003" customFormat="1" ht="38.25" x14ac:dyDescent="0.25">
      <c r="B582" s="1066"/>
      <c r="C582" s="1000" t="s">
        <v>3253</v>
      </c>
      <c r="D582" s="1000" t="s">
        <v>79</v>
      </c>
      <c r="E582" s="1001">
        <v>5</v>
      </c>
      <c r="F582" s="1001">
        <v>1</v>
      </c>
      <c r="G582" s="2114"/>
      <c r="H582" s="1001">
        <v>1</v>
      </c>
      <c r="I582" s="2114"/>
      <c r="J582" s="1001">
        <v>1</v>
      </c>
      <c r="K582" s="2114"/>
      <c r="L582" s="1001">
        <v>1</v>
      </c>
      <c r="M582" s="2114"/>
      <c r="N582" s="1001">
        <v>1</v>
      </c>
      <c r="O582" s="2114"/>
      <c r="P582" s="1001">
        <v>1</v>
      </c>
      <c r="Q582" s="2114"/>
      <c r="R582" s="1001">
        <f>E582+F582+H582+J582+L582+N582</f>
        <v>10</v>
      </c>
      <c r="S582" s="1004"/>
      <c r="T582" s="1004"/>
    </row>
    <row r="583" spans="2:20" s="1003" customFormat="1" ht="38.25" x14ac:dyDescent="0.25">
      <c r="B583" s="998" t="s">
        <v>3254</v>
      </c>
      <c r="C583" s="1000" t="s">
        <v>3255</v>
      </c>
      <c r="D583" s="1000" t="s">
        <v>103</v>
      </c>
      <c r="E583" s="1001"/>
      <c r="F583" s="1001">
        <v>2</v>
      </c>
      <c r="G583" s="1001">
        <v>20000</v>
      </c>
      <c r="H583" s="1001">
        <v>2</v>
      </c>
      <c r="I583" s="1001">
        <v>24000</v>
      </c>
      <c r="J583" s="1001">
        <v>2</v>
      </c>
      <c r="K583" s="1001">
        <v>26000</v>
      </c>
      <c r="L583" s="1001">
        <v>2</v>
      </c>
      <c r="M583" s="1001">
        <v>28000</v>
      </c>
      <c r="N583" s="1001">
        <v>2</v>
      </c>
      <c r="O583" s="1001">
        <v>30000</v>
      </c>
      <c r="P583" s="1001">
        <v>2</v>
      </c>
      <c r="Q583" s="1001">
        <v>33000</v>
      </c>
      <c r="R583" s="1001"/>
      <c r="S583" s="1004"/>
      <c r="T583" s="1004"/>
    </row>
    <row r="584" spans="2:20" s="1003" customFormat="1" ht="51" x14ac:dyDescent="0.25">
      <c r="B584" s="1106" t="s">
        <v>3420</v>
      </c>
      <c r="C584" s="1000" t="s">
        <v>3386</v>
      </c>
      <c r="D584" s="1000" t="s">
        <v>19</v>
      </c>
      <c r="E584" s="1001">
        <v>100</v>
      </c>
      <c r="F584" s="1001">
        <v>100</v>
      </c>
      <c r="G584" s="1001">
        <f>G585</f>
        <v>53919</v>
      </c>
      <c r="H584" s="1001">
        <v>100</v>
      </c>
      <c r="I584" s="1001">
        <f>I585</f>
        <v>51000</v>
      </c>
      <c r="J584" s="1001">
        <v>100</v>
      </c>
      <c r="K584" s="1001">
        <f>K585</f>
        <v>55000</v>
      </c>
      <c r="L584" s="1001">
        <v>100</v>
      </c>
      <c r="M584" s="1001">
        <f>M585</f>
        <v>57500</v>
      </c>
      <c r="N584" s="1001">
        <v>100</v>
      </c>
      <c r="O584" s="1001">
        <f>O585</f>
        <v>60000</v>
      </c>
      <c r="P584" s="1001">
        <v>100</v>
      </c>
      <c r="Q584" s="1001">
        <f>Q585</f>
        <v>65000</v>
      </c>
      <c r="R584" s="1001">
        <v>100</v>
      </c>
      <c r="S584" s="1004"/>
      <c r="T584" s="1004"/>
    </row>
    <row r="585" spans="2:20" s="1003" customFormat="1" ht="25.5" x14ac:dyDescent="0.25">
      <c r="B585" s="998" t="s">
        <v>3421</v>
      </c>
      <c r="C585" s="1000" t="s">
        <v>3422</v>
      </c>
      <c r="D585" s="1000" t="s">
        <v>40</v>
      </c>
      <c r="E585" s="1001"/>
      <c r="F585" s="1001">
        <v>12</v>
      </c>
      <c r="G585" s="1001">
        <v>53919</v>
      </c>
      <c r="H585" s="1001">
        <v>12</v>
      </c>
      <c r="I585" s="1001">
        <v>51000</v>
      </c>
      <c r="J585" s="1001">
        <v>12</v>
      </c>
      <c r="K585" s="1001">
        <v>55000</v>
      </c>
      <c r="L585" s="1001">
        <v>12</v>
      </c>
      <c r="M585" s="1001">
        <v>57500</v>
      </c>
      <c r="N585" s="1001">
        <v>12</v>
      </c>
      <c r="O585" s="1001">
        <v>60000</v>
      </c>
      <c r="P585" s="1001">
        <v>12</v>
      </c>
      <c r="Q585" s="1001">
        <v>65000</v>
      </c>
      <c r="R585" s="1001"/>
      <c r="S585" s="1004"/>
      <c r="T585" s="1004"/>
    </row>
    <row r="586" spans="2:20" s="1003" customFormat="1" ht="84" x14ac:dyDescent="0.25">
      <c r="B586" s="1106" t="s">
        <v>1743</v>
      </c>
      <c r="C586" s="1000" t="s">
        <v>3265</v>
      </c>
      <c r="D586" s="1000" t="s">
        <v>19</v>
      </c>
      <c r="E586" s="1001">
        <v>50</v>
      </c>
      <c r="F586" s="1001">
        <v>60</v>
      </c>
      <c r="G586" s="1001">
        <f>SUM(G587:G588)</f>
        <v>60000</v>
      </c>
      <c r="H586" s="1001">
        <v>70</v>
      </c>
      <c r="I586" s="1001">
        <f>SUM(I587:I588)</f>
        <v>45600</v>
      </c>
      <c r="J586" s="1001">
        <v>80</v>
      </c>
      <c r="K586" s="1001">
        <f>SUM(K587:K588)</f>
        <v>48500</v>
      </c>
      <c r="L586" s="1001">
        <v>90</v>
      </c>
      <c r="M586" s="1001">
        <f>SUM(M587:M588)</f>
        <v>52500</v>
      </c>
      <c r="N586" s="1001">
        <v>100</v>
      </c>
      <c r="O586" s="1001">
        <f>SUM(O587:O588)</f>
        <v>57000</v>
      </c>
      <c r="P586" s="1001">
        <v>100</v>
      </c>
      <c r="Q586" s="1001">
        <f>SUM(Q587:Q588)</f>
        <v>61500</v>
      </c>
      <c r="R586" s="1001">
        <v>100</v>
      </c>
      <c r="S586" s="1004"/>
      <c r="T586" s="1004"/>
    </row>
    <row r="587" spans="2:20" s="1003" customFormat="1" ht="25.5" x14ac:dyDescent="0.25">
      <c r="B587" s="998" t="s">
        <v>3266</v>
      </c>
      <c r="C587" s="1000" t="s">
        <v>3267</v>
      </c>
      <c r="D587" s="1000" t="s">
        <v>97</v>
      </c>
      <c r="E587" s="1001"/>
      <c r="F587" s="1001">
        <v>24</v>
      </c>
      <c r="G587" s="1001">
        <v>50000</v>
      </c>
      <c r="H587" s="1001">
        <v>24</v>
      </c>
      <c r="I587" s="1001">
        <v>33600</v>
      </c>
      <c r="J587" s="1001">
        <v>24</v>
      </c>
      <c r="K587" s="1001">
        <v>35000</v>
      </c>
      <c r="L587" s="1001">
        <v>24</v>
      </c>
      <c r="M587" s="1001">
        <v>37500</v>
      </c>
      <c r="N587" s="1001">
        <v>24</v>
      </c>
      <c r="O587" s="1001">
        <v>40000</v>
      </c>
      <c r="P587" s="1001">
        <v>24</v>
      </c>
      <c r="Q587" s="1001">
        <v>43000</v>
      </c>
      <c r="R587" s="1001"/>
      <c r="S587" s="1004"/>
      <c r="T587" s="1004"/>
    </row>
    <row r="588" spans="2:20" s="1003" customFormat="1" ht="76.5" x14ac:dyDescent="0.25">
      <c r="B588" s="998" t="s">
        <v>3390</v>
      </c>
      <c r="C588" s="1000" t="s">
        <v>3273</v>
      </c>
      <c r="D588" s="1000" t="s">
        <v>97</v>
      </c>
      <c r="E588" s="1001"/>
      <c r="F588" s="1001">
        <v>24</v>
      </c>
      <c r="G588" s="1001">
        <v>10000</v>
      </c>
      <c r="H588" s="1001">
        <v>24</v>
      </c>
      <c r="I588" s="1001">
        <v>12000</v>
      </c>
      <c r="J588" s="1001">
        <v>24</v>
      </c>
      <c r="K588" s="1001">
        <v>13500</v>
      </c>
      <c r="L588" s="1001">
        <v>24</v>
      </c>
      <c r="M588" s="1001">
        <v>15000</v>
      </c>
      <c r="N588" s="1001">
        <v>24</v>
      </c>
      <c r="O588" s="1001">
        <v>17000</v>
      </c>
      <c r="P588" s="1001">
        <v>24</v>
      </c>
      <c r="Q588" s="1001">
        <v>18500</v>
      </c>
      <c r="R588" s="1001"/>
      <c r="S588" s="1004"/>
      <c r="T588" s="1004"/>
    </row>
    <row r="589" spans="2:20" s="1003" customFormat="1" ht="76.5" customHeight="1" x14ac:dyDescent="0.25">
      <c r="B589" s="1063" t="s">
        <v>3425</v>
      </c>
      <c r="C589" s="1000" t="s">
        <v>3274</v>
      </c>
      <c r="D589" s="1000" t="s">
        <v>79</v>
      </c>
      <c r="E589" s="1001">
        <v>1</v>
      </c>
      <c r="F589" s="1001">
        <v>1</v>
      </c>
      <c r="G589" s="1001">
        <f>G590</f>
        <v>6000</v>
      </c>
      <c r="H589" s="1001">
        <v>1</v>
      </c>
      <c r="I589" s="1001">
        <f>I590</f>
        <v>6500</v>
      </c>
      <c r="J589" s="1001">
        <v>1</v>
      </c>
      <c r="K589" s="1001">
        <f>K590</f>
        <v>7000</v>
      </c>
      <c r="L589" s="1001">
        <v>1</v>
      </c>
      <c r="M589" s="1001">
        <f>M590</f>
        <v>8000</v>
      </c>
      <c r="N589" s="1001">
        <v>1</v>
      </c>
      <c r="O589" s="1001">
        <f>O590</f>
        <v>8500</v>
      </c>
      <c r="P589" s="1001">
        <v>1</v>
      </c>
      <c r="Q589" s="1001">
        <f>Q590</f>
        <v>10000</v>
      </c>
      <c r="R589" s="1001">
        <f>E589+F589+H589+J589+L589+N589</f>
        <v>6</v>
      </c>
      <c r="S589" s="1004"/>
      <c r="T589" s="1004"/>
    </row>
    <row r="590" spans="2:20" s="1003" customFormat="1" ht="25.5" x14ac:dyDescent="0.25">
      <c r="B590" s="1008" t="s">
        <v>3277</v>
      </c>
      <c r="C590" s="1000" t="s">
        <v>3278</v>
      </c>
      <c r="D590" s="1000" t="s">
        <v>103</v>
      </c>
      <c r="E590" s="1001"/>
      <c r="F590" s="1001">
        <v>1</v>
      </c>
      <c r="G590" s="1001">
        <v>6000</v>
      </c>
      <c r="H590" s="1001">
        <v>1</v>
      </c>
      <c r="I590" s="1001">
        <v>6500</v>
      </c>
      <c r="J590" s="1001">
        <v>1</v>
      </c>
      <c r="K590" s="1001">
        <v>7000</v>
      </c>
      <c r="L590" s="1001">
        <v>1</v>
      </c>
      <c r="M590" s="1001">
        <v>8000</v>
      </c>
      <c r="N590" s="1001">
        <v>1</v>
      </c>
      <c r="O590" s="1001">
        <v>8500</v>
      </c>
      <c r="P590" s="1001">
        <v>1</v>
      </c>
      <c r="Q590" s="1001">
        <v>10000</v>
      </c>
      <c r="R590" s="1001"/>
      <c r="S590" s="1004"/>
      <c r="T590" s="1004"/>
    </row>
    <row r="591" spans="2:20" s="1003" customFormat="1" ht="63.75" customHeight="1" x14ac:dyDescent="0.25">
      <c r="B591" s="1063" t="s">
        <v>3280</v>
      </c>
      <c r="C591" s="1000" t="s">
        <v>3279</v>
      </c>
      <c r="D591" s="1000" t="s">
        <v>327</v>
      </c>
      <c r="E591" s="1001">
        <v>16</v>
      </c>
      <c r="F591" s="1001">
        <v>20</v>
      </c>
      <c r="G591" s="1001">
        <f>SUM(G592:G593)</f>
        <v>8000</v>
      </c>
      <c r="H591" s="1001">
        <v>24</v>
      </c>
      <c r="I591" s="1001">
        <f>SUM(I592:I593)</f>
        <v>11000</v>
      </c>
      <c r="J591" s="1001">
        <v>28</v>
      </c>
      <c r="K591" s="1001">
        <f>SUM(K592:K593)</f>
        <v>13000</v>
      </c>
      <c r="L591" s="1001">
        <v>32</v>
      </c>
      <c r="M591" s="1001">
        <f>SUM(M592:M593)</f>
        <v>15500</v>
      </c>
      <c r="N591" s="1001">
        <v>36</v>
      </c>
      <c r="O591" s="1001">
        <f>SUM(O592:O593)</f>
        <v>17500</v>
      </c>
      <c r="P591" s="1001">
        <v>40</v>
      </c>
      <c r="Q591" s="1001">
        <f>SUM(Q592:Q593)</f>
        <v>19500</v>
      </c>
      <c r="R591" s="1001">
        <f>N591</f>
        <v>36</v>
      </c>
      <c r="S591" s="1004"/>
      <c r="T591" s="1004"/>
    </row>
    <row r="592" spans="2:20" s="1003" customFormat="1" ht="38.25" x14ac:dyDescent="0.25">
      <c r="B592" s="1008" t="s">
        <v>1298</v>
      </c>
      <c r="C592" s="1000" t="s">
        <v>3281</v>
      </c>
      <c r="D592" s="1000" t="s">
        <v>275</v>
      </c>
      <c r="E592" s="1001"/>
      <c r="F592" s="1001">
        <v>1</v>
      </c>
      <c r="G592" s="1001">
        <v>4000</v>
      </c>
      <c r="H592" s="1001">
        <v>1</v>
      </c>
      <c r="I592" s="1001">
        <v>5000</v>
      </c>
      <c r="J592" s="1001">
        <v>1</v>
      </c>
      <c r="K592" s="1001">
        <v>6000</v>
      </c>
      <c r="L592" s="1001">
        <v>1</v>
      </c>
      <c r="M592" s="1001">
        <v>7000</v>
      </c>
      <c r="N592" s="1001">
        <v>1</v>
      </c>
      <c r="O592" s="1001">
        <v>8000</v>
      </c>
      <c r="P592" s="1001">
        <v>1</v>
      </c>
      <c r="Q592" s="1001">
        <v>8500</v>
      </c>
      <c r="R592" s="1001"/>
      <c r="S592" s="1004"/>
      <c r="T592" s="1004"/>
    </row>
    <row r="593" spans="2:20" s="1003" customFormat="1" ht="38.25" x14ac:dyDescent="0.25">
      <c r="B593" s="1008" t="s">
        <v>3282</v>
      </c>
      <c r="C593" s="1000" t="s">
        <v>3283</v>
      </c>
      <c r="D593" s="1000" t="s">
        <v>275</v>
      </c>
      <c r="E593" s="1001"/>
      <c r="F593" s="1001">
        <v>3</v>
      </c>
      <c r="G593" s="1001">
        <v>4000</v>
      </c>
      <c r="H593" s="1001">
        <v>3</v>
      </c>
      <c r="I593" s="1001">
        <v>6000</v>
      </c>
      <c r="J593" s="1001">
        <v>3</v>
      </c>
      <c r="K593" s="1001">
        <v>7000</v>
      </c>
      <c r="L593" s="1001">
        <v>3</v>
      </c>
      <c r="M593" s="1001">
        <v>8500</v>
      </c>
      <c r="N593" s="1001">
        <v>3</v>
      </c>
      <c r="O593" s="1001">
        <v>9500</v>
      </c>
      <c r="P593" s="1001">
        <v>3</v>
      </c>
      <c r="Q593" s="1001">
        <v>11000</v>
      </c>
      <c r="R593" s="1001"/>
      <c r="S593" s="1004"/>
      <c r="T593" s="1004"/>
    </row>
    <row r="594" spans="2:20" s="1003" customFormat="1" ht="60" x14ac:dyDescent="0.25">
      <c r="B594" s="1106" t="s">
        <v>3284</v>
      </c>
      <c r="C594" s="1009" t="s">
        <v>3285</v>
      </c>
      <c r="D594" s="1009" t="s">
        <v>364</v>
      </c>
      <c r="E594" s="1001">
        <v>100</v>
      </c>
      <c r="F594" s="1001">
        <v>90</v>
      </c>
      <c r="G594" s="1001">
        <f>G595</f>
        <v>4000</v>
      </c>
      <c r="H594" s="1001">
        <v>80</v>
      </c>
      <c r="I594" s="1001">
        <f>I595</f>
        <v>0</v>
      </c>
      <c r="J594" s="1001">
        <v>70</v>
      </c>
      <c r="K594" s="1001">
        <f>K595</f>
        <v>0</v>
      </c>
      <c r="L594" s="1001">
        <v>60</v>
      </c>
      <c r="M594" s="1001">
        <f>M595</f>
        <v>0</v>
      </c>
      <c r="N594" s="1001">
        <v>50</v>
      </c>
      <c r="O594" s="1001">
        <f>O595</f>
        <v>0</v>
      </c>
      <c r="P594" s="1001">
        <v>50</v>
      </c>
      <c r="Q594" s="1001">
        <f>Q595</f>
        <v>0</v>
      </c>
      <c r="R594" s="1001">
        <f>N594</f>
        <v>50</v>
      </c>
      <c r="S594" s="1004"/>
      <c r="T594" s="1004"/>
    </row>
    <row r="595" spans="2:20" s="1003" customFormat="1" ht="63.75" x14ac:dyDescent="0.25">
      <c r="B595" s="998" t="s">
        <v>3286</v>
      </c>
      <c r="C595" s="1009" t="s">
        <v>3287</v>
      </c>
      <c r="D595" s="1009" t="s">
        <v>100</v>
      </c>
      <c r="E595" s="1001"/>
      <c r="F595" s="1001">
        <v>24</v>
      </c>
      <c r="G595" s="1001">
        <v>4000</v>
      </c>
      <c r="H595" s="1001">
        <v>0</v>
      </c>
      <c r="I595" s="1001">
        <v>0</v>
      </c>
      <c r="J595" s="1001">
        <v>0</v>
      </c>
      <c r="K595" s="1001">
        <v>0</v>
      </c>
      <c r="L595" s="1001">
        <v>0</v>
      </c>
      <c r="M595" s="1001">
        <v>0</v>
      </c>
      <c r="N595" s="1001">
        <v>0</v>
      </c>
      <c r="O595" s="1001">
        <v>0</v>
      </c>
      <c r="P595" s="1001">
        <v>0</v>
      </c>
      <c r="Q595" s="1001">
        <v>0</v>
      </c>
      <c r="R595" s="1001"/>
      <c r="S595" s="1004"/>
      <c r="T595" s="1004"/>
    </row>
    <row r="596" spans="2:20" s="1003" customFormat="1" ht="48" x14ac:dyDescent="0.25">
      <c r="B596" s="1106" t="s">
        <v>3289</v>
      </c>
      <c r="C596" s="1009" t="s">
        <v>3288</v>
      </c>
      <c r="D596" s="1009" t="s">
        <v>100</v>
      </c>
      <c r="E596" s="1001">
        <v>30</v>
      </c>
      <c r="F596" s="1001">
        <f>F597</f>
        <v>1</v>
      </c>
      <c r="G596" s="1001">
        <f t="shared" ref="G596:Q596" si="61">G597</f>
        <v>10000</v>
      </c>
      <c r="H596" s="1001">
        <f t="shared" si="61"/>
        <v>1</v>
      </c>
      <c r="I596" s="1001">
        <f t="shared" si="61"/>
        <v>11500</v>
      </c>
      <c r="J596" s="1001">
        <f t="shared" si="61"/>
        <v>1</v>
      </c>
      <c r="K596" s="1001">
        <f t="shared" si="61"/>
        <v>13000</v>
      </c>
      <c r="L596" s="1001">
        <f t="shared" si="61"/>
        <v>1</v>
      </c>
      <c r="M596" s="1001">
        <f t="shared" si="61"/>
        <v>15000</v>
      </c>
      <c r="N596" s="1001">
        <f t="shared" si="61"/>
        <v>1</v>
      </c>
      <c r="O596" s="1001">
        <f t="shared" si="61"/>
        <v>18000</v>
      </c>
      <c r="P596" s="1001">
        <f t="shared" si="61"/>
        <v>1</v>
      </c>
      <c r="Q596" s="1001">
        <f t="shared" si="61"/>
        <v>21000</v>
      </c>
      <c r="R596" s="1001">
        <f>F596+H596+J596+L596+N596</f>
        <v>5</v>
      </c>
      <c r="S596" s="1004"/>
      <c r="T596" s="1004"/>
    </row>
    <row r="597" spans="2:20" s="1003" customFormat="1" ht="76.5" x14ac:dyDescent="0.25">
      <c r="B597" s="998" t="s">
        <v>894</v>
      </c>
      <c r="C597" s="1009" t="s">
        <v>3290</v>
      </c>
      <c r="D597" s="1009" t="s">
        <v>275</v>
      </c>
      <c r="E597" s="1001"/>
      <c r="F597" s="1001">
        <v>1</v>
      </c>
      <c r="G597" s="1001">
        <v>10000</v>
      </c>
      <c r="H597" s="1001">
        <v>1</v>
      </c>
      <c r="I597" s="1001">
        <v>11500</v>
      </c>
      <c r="J597" s="1001">
        <v>1</v>
      </c>
      <c r="K597" s="1001">
        <v>13000</v>
      </c>
      <c r="L597" s="1001">
        <v>1</v>
      </c>
      <c r="M597" s="1001">
        <v>15000</v>
      </c>
      <c r="N597" s="1001">
        <v>1</v>
      </c>
      <c r="O597" s="1001">
        <v>18000</v>
      </c>
      <c r="P597" s="1001">
        <v>1</v>
      </c>
      <c r="Q597" s="1001">
        <v>21000</v>
      </c>
      <c r="R597" s="1001"/>
      <c r="S597" s="1004"/>
      <c r="T597" s="1004"/>
    </row>
    <row r="598" spans="2:20" s="1003" customFormat="1" ht="60" x14ac:dyDescent="0.25">
      <c r="B598" s="1063" t="s">
        <v>3292</v>
      </c>
      <c r="C598" s="1000" t="s">
        <v>3291</v>
      </c>
      <c r="D598" s="1000" t="s">
        <v>19</v>
      </c>
      <c r="E598" s="1001">
        <v>75</v>
      </c>
      <c r="F598" s="1001">
        <v>77</v>
      </c>
      <c r="G598" s="1001">
        <f>G599</f>
        <v>2000</v>
      </c>
      <c r="H598" s="1001"/>
      <c r="I598" s="1001">
        <f>I599</f>
        <v>0</v>
      </c>
      <c r="J598" s="1001"/>
      <c r="K598" s="1001">
        <f>K599</f>
        <v>0</v>
      </c>
      <c r="L598" s="1001">
        <v>80</v>
      </c>
      <c r="M598" s="1001">
        <f>M599</f>
        <v>0</v>
      </c>
      <c r="N598" s="1001"/>
      <c r="O598" s="1001">
        <f>O599</f>
        <v>0</v>
      </c>
      <c r="P598" s="1001">
        <v>1</v>
      </c>
      <c r="Q598" s="1001">
        <f>Q599</f>
        <v>0</v>
      </c>
      <c r="R598" s="1001">
        <f>L598</f>
        <v>80</v>
      </c>
      <c r="S598" s="1004"/>
      <c r="T598" s="1004"/>
    </row>
    <row r="599" spans="2:20" s="1003" customFormat="1" ht="38.25" x14ac:dyDescent="0.25">
      <c r="B599" s="1008" t="s">
        <v>3293</v>
      </c>
      <c r="C599" s="1000" t="s">
        <v>3294</v>
      </c>
      <c r="D599" s="1000" t="s">
        <v>97</v>
      </c>
      <c r="E599" s="1001"/>
      <c r="F599" s="1001">
        <v>2</v>
      </c>
      <c r="G599" s="1001">
        <v>2000</v>
      </c>
      <c r="H599" s="1001"/>
      <c r="I599" s="1001"/>
      <c r="J599" s="1001">
        <v>0</v>
      </c>
      <c r="K599" s="1001">
        <v>0</v>
      </c>
      <c r="L599" s="1001">
        <v>0</v>
      </c>
      <c r="M599" s="1001">
        <v>0</v>
      </c>
      <c r="N599" s="1001">
        <v>0</v>
      </c>
      <c r="O599" s="1001">
        <v>0</v>
      </c>
      <c r="P599" s="1001">
        <v>0</v>
      </c>
      <c r="Q599" s="1001">
        <v>0</v>
      </c>
      <c r="R599" s="1001"/>
      <c r="S599" s="1004"/>
      <c r="T599" s="1004"/>
    </row>
    <row r="600" spans="2:20" s="1003" customFormat="1" ht="60" x14ac:dyDescent="0.25">
      <c r="B600" s="1063" t="s">
        <v>3296</v>
      </c>
      <c r="C600" s="1000" t="s">
        <v>3295</v>
      </c>
      <c r="D600" s="1000" t="s">
        <v>327</v>
      </c>
      <c r="E600" s="1001">
        <v>11</v>
      </c>
      <c r="F600" s="1001">
        <f>F601</f>
        <v>1</v>
      </c>
      <c r="G600" s="1001">
        <f t="shared" ref="G600:Q600" si="62">G601</f>
        <v>4000</v>
      </c>
      <c r="H600" s="1001">
        <f t="shared" si="62"/>
        <v>1</v>
      </c>
      <c r="I600" s="1001">
        <f t="shared" si="62"/>
        <v>5000</v>
      </c>
      <c r="J600" s="1001">
        <f t="shared" si="62"/>
        <v>1</v>
      </c>
      <c r="K600" s="1001">
        <f t="shared" si="62"/>
        <v>6500</v>
      </c>
      <c r="L600" s="1001">
        <f t="shared" si="62"/>
        <v>1</v>
      </c>
      <c r="M600" s="1001">
        <f t="shared" si="62"/>
        <v>7000</v>
      </c>
      <c r="N600" s="1001">
        <f t="shared" si="62"/>
        <v>1</v>
      </c>
      <c r="O600" s="1001">
        <f t="shared" si="62"/>
        <v>7500</v>
      </c>
      <c r="P600" s="1001">
        <f t="shared" si="62"/>
        <v>1</v>
      </c>
      <c r="Q600" s="1001">
        <f t="shared" si="62"/>
        <v>8500</v>
      </c>
      <c r="R600" s="1001">
        <f>N600</f>
        <v>1</v>
      </c>
      <c r="S600" s="1004"/>
      <c r="T600" s="1004"/>
    </row>
    <row r="601" spans="2:20" s="1003" customFormat="1" x14ac:dyDescent="0.25">
      <c r="B601" s="1008" t="s">
        <v>383</v>
      </c>
      <c r="C601" s="1000" t="s">
        <v>3297</v>
      </c>
      <c r="D601" s="1000" t="s">
        <v>275</v>
      </c>
      <c r="E601" s="1001"/>
      <c r="F601" s="1001">
        <v>1</v>
      </c>
      <c r="G601" s="1001">
        <v>4000</v>
      </c>
      <c r="H601" s="1001">
        <v>1</v>
      </c>
      <c r="I601" s="1001">
        <v>5000</v>
      </c>
      <c r="J601" s="1001">
        <v>1</v>
      </c>
      <c r="K601" s="1001">
        <v>6500</v>
      </c>
      <c r="L601" s="1001">
        <v>1</v>
      </c>
      <c r="M601" s="1001">
        <v>7000</v>
      </c>
      <c r="N601" s="1001">
        <v>1</v>
      </c>
      <c r="O601" s="1001">
        <v>7500</v>
      </c>
      <c r="P601" s="1001">
        <v>1</v>
      </c>
      <c r="Q601" s="1001">
        <v>8500</v>
      </c>
      <c r="R601" s="1001"/>
      <c r="S601" s="1004"/>
      <c r="T601" s="1004"/>
    </row>
    <row r="602" spans="2:20" s="1003" customFormat="1" x14ac:dyDescent="0.25">
      <c r="B602" s="1027" t="s">
        <v>2651</v>
      </c>
      <c r="C602" s="1000"/>
      <c r="D602" s="1000"/>
      <c r="E602" s="1000"/>
      <c r="F602" s="1000"/>
      <c r="G602" s="1012">
        <f>G600+G598+G596+G594+G591+G589+G586+G584+G581+G577+G579+G569+G555</f>
        <v>310368</v>
      </c>
      <c r="H602" s="1000"/>
      <c r="I602" s="1012">
        <f>I600+I598+I596+I594+I591+I589+I586+I584+I581+I579+I577+I569+I555</f>
        <v>334100</v>
      </c>
      <c r="J602" s="1000"/>
      <c r="K602" s="1012">
        <f>K600+K598+K596+K594+K591+K589+K586+K584+K581+K579+K577+K569+K555</f>
        <v>363400</v>
      </c>
      <c r="L602" s="1000"/>
      <c r="M602" s="1012">
        <f>M600+M598+M596+M594+M591+M589+M586+M584+M581+M579+M577+M569+M555</f>
        <v>386100</v>
      </c>
      <c r="N602" s="1000"/>
      <c r="O602" s="1012">
        <f>O600+O598+O596+O594+O591+O589+O586+O584+O581+O579+O577+O569+O555</f>
        <v>423100</v>
      </c>
      <c r="P602" s="1012"/>
      <c r="Q602" s="1012">
        <f>Q600+Q598+Q596+Q594+Q591+Q589+Q586+Q584+Q581+Q579+Q577+Q569+Q555</f>
        <v>475600</v>
      </c>
      <c r="R602" s="1000"/>
      <c r="S602" s="1013"/>
      <c r="T602" s="1013"/>
    </row>
    <row r="603" spans="2:20" s="1003" customFormat="1" x14ac:dyDescent="0.25">
      <c r="B603" s="1005"/>
      <c r="C603" s="1100"/>
      <c r="D603" s="1000"/>
      <c r="E603" s="1001"/>
      <c r="F603" s="1001"/>
      <c r="G603" s="1001"/>
      <c r="H603" s="1001"/>
      <c r="I603" s="1001"/>
      <c r="J603" s="1001"/>
      <c r="K603" s="1001"/>
      <c r="L603" s="1001"/>
      <c r="M603" s="1001"/>
      <c r="N603" s="1001"/>
      <c r="O603" s="1001"/>
      <c r="P603" s="1001"/>
      <c r="Q603" s="1001"/>
      <c r="R603" s="1001"/>
      <c r="S603" s="1004"/>
      <c r="T603" s="1004"/>
    </row>
    <row r="604" spans="2:20" s="1003" customFormat="1" x14ac:dyDescent="0.25">
      <c r="B604" s="1167" t="s">
        <v>3475</v>
      </c>
      <c r="C604" s="1100"/>
      <c r="D604" s="1000"/>
      <c r="E604" s="1001"/>
      <c r="F604" s="1001"/>
      <c r="G604" s="1001"/>
      <c r="H604" s="1001"/>
      <c r="I604" s="1001"/>
      <c r="J604" s="1001"/>
      <c r="K604" s="1001"/>
      <c r="L604" s="1001"/>
      <c r="M604" s="1001"/>
      <c r="N604" s="1001"/>
      <c r="O604" s="1001"/>
      <c r="P604" s="1001"/>
      <c r="Q604" s="1001"/>
      <c r="R604" s="1001"/>
      <c r="S604" s="1004"/>
      <c r="T604" s="1004"/>
    </row>
    <row r="605" spans="2:20" s="1003" customFormat="1" ht="51" customHeight="1" x14ac:dyDescent="0.25">
      <c r="B605" s="998"/>
      <c r="C605" s="999" t="s">
        <v>3228</v>
      </c>
      <c r="D605" s="1025" t="s">
        <v>19</v>
      </c>
      <c r="E605" s="1001">
        <v>90</v>
      </c>
      <c r="F605" s="1001">
        <v>93</v>
      </c>
      <c r="G605" s="1001"/>
      <c r="H605" s="1001">
        <v>94</v>
      </c>
      <c r="I605" s="1001"/>
      <c r="J605" s="1001">
        <v>95</v>
      </c>
      <c r="K605" s="1001"/>
      <c r="L605" s="1001">
        <v>96</v>
      </c>
      <c r="M605" s="1001"/>
      <c r="N605" s="1001">
        <v>97</v>
      </c>
      <c r="O605" s="1001"/>
      <c r="P605" s="1001">
        <v>98</v>
      </c>
      <c r="Q605" s="1001"/>
      <c r="R605" s="1001">
        <v>97</v>
      </c>
      <c r="S605" s="1002"/>
      <c r="T605" s="1002"/>
    </row>
    <row r="606" spans="2:20" s="1003" customFormat="1" ht="63.75" x14ac:dyDescent="0.25">
      <c r="B606" s="1106" t="s">
        <v>3229</v>
      </c>
      <c r="C606" s="1000" t="s">
        <v>1488</v>
      </c>
      <c r="D606" s="1025" t="s">
        <v>19</v>
      </c>
      <c r="E606" s="1001">
        <v>100</v>
      </c>
      <c r="F606" s="1001">
        <v>20</v>
      </c>
      <c r="G606" s="1001">
        <f>SUM(G607:G619)</f>
        <v>93832</v>
      </c>
      <c r="H606" s="1001">
        <v>20</v>
      </c>
      <c r="I606" s="1001">
        <f>SUM(I607:I619)</f>
        <v>103500</v>
      </c>
      <c r="J606" s="1001">
        <v>20</v>
      </c>
      <c r="K606" s="1001">
        <f>SUM(K607:K619)</f>
        <v>108750</v>
      </c>
      <c r="L606" s="1001">
        <v>20</v>
      </c>
      <c r="M606" s="1001">
        <f>SUM(M607:M619)</f>
        <v>112750</v>
      </c>
      <c r="N606" s="1001">
        <v>20</v>
      </c>
      <c r="O606" s="1001">
        <f>SUM(O607:O619)</f>
        <v>117300</v>
      </c>
      <c r="P606" s="1001">
        <v>20</v>
      </c>
      <c r="Q606" s="1001">
        <f>SUM(Q607:Q619)</f>
        <v>121000</v>
      </c>
      <c r="R606" s="1001">
        <v>100</v>
      </c>
      <c r="S606" s="1004"/>
      <c r="T606" s="1004"/>
    </row>
    <row r="607" spans="2:20" s="1003" customFormat="1" ht="25.5" x14ac:dyDescent="0.25">
      <c r="B607" s="998" t="s">
        <v>124</v>
      </c>
      <c r="C607" s="1100" t="s">
        <v>3230</v>
      </c>
      <c r="D607" s="1025" t="s">
        <v>40</v>
      </c>
      <c r="E607" s="1001"/>
      <c r="F607" s="1001">
        <v>12</v>
      </c>
      <c r="G607" s="1001">
        <v>750</v>
      </c>
      <c r="H607" s="1001">
        <v>12</v>
      </c>
      <c r="I607" s="1001">
        <v>750</v>
      </c>
      <c r="J607" s="1001">
        <v>12</v>
      </c>
      <c r="K607" s="1001">
        <v>750</v>
      </c>
      <c r="L607" s="1001">
        <v>12</v>
      </c>
      <c r="M607" s="1001">
        <v>750</v>
      </c>
      <c r="N607" s="1001">
        <v>12</v>
      </c>
      <c r="O607" s="1001">
        <v>1000</v>
      </c>
      <c r="P607" s="1001">
        <v>12</v>
      </c>
      <c r="Q607" s="1001">
        <v>1000</v>
      </c>
      <c r="R607" s="1001"/>
      <c r="S607" s="1004"/>
      <c r="T607" s="1004"/>
    </row>
    <row r="608" spans="2:20" s="1003" customFormat="1" ht="51" x14ac:dyDescent="0.25">
      <c r="B608" s="1005" t="s">
        <v>126</v>
      </c>
      <c r="C608" s="1100" t="s">
        <v>2518</v>
      </c>
      <c r="D608" s="1025" t="s">
        <v>40</v>
      </c>
      <c r="E608" s="1001"/>
      <c r="F608" s="1001">
        <v>12</v>
      </c>
      <c r="G608" s="1001">
        <v>9000</v>
      </c>
      <c r="H608" s="1001">
        <v>12</v>
      </c>
      <c r="I608" s="1001">
        <v>12500</v>
      </c>
      <c r="J608" s="1001">
        <v>12</v>
      </c>
      <c r="K608" s="1001">
        <v>12500</v>
      </c>
      <c r="L608" s="1001">
        <v>12</v>
      </c>
      <c r="M608" s="1001">
        <v>12500</v>
      </c>
      <c r="N608" s="1001">
        <v>12</v>
      </c>
      <c r="O608" s="1001">
        <v>13000</v>
      </c>
      <c r="P608" s="1001">
        <v>12</v>
      </c>
      <c r="Q608" s="1001">
        <v>13000</v>
      </c>
      <c r="R608" s="1001"/>
      <c r="S608" s="1004"/>
      <c r="T608" s="1004"/>
    </row>
    <row r="609" spans="2:20" s="1003" customFormat="1" ht="76.5" x14ac:dyDescent="0.25">
      <c r="B609" s="1005" t="s">
        <v>3231</v>
      </c>
      <c r="C609" s="1100" t="s">
        <v>2519</v>
      </c>
      <c r="D609" s="1025" t="s">
        <v>40</v>
      </c>
      <c r="E609" s="1001"/>
      <c r="F609" s="1001">
        <v>12</v>
      </c>
      <c r="G609" s="1001">
        <v>25000</v>
      </c>
      <c r="H609" s="1001">
        <v>12</v>
      </c>
      <c r="I609" s="1001">
        <v>26500</v>
      </c>
      <c r="J609" s="1001">
        <v>12</v>
      </c>
      <c r="K609" s="1001">
        <v>27000</v>
      </c>
      <c r="L609" s="1001">
        <v>12</v>
      </c>
      <c r="M609" s="1001">
        <v>27500</v>
      </c>
      <c r="N609" s="1001">
        <v>12</v>
      </c>
      <c r="O609" s="1001">
        <v>27500</v>
      </c>
      <c r="P609" s="1001">
        <v>12</v>
      </c>
      <c r="Q609" s="1001">
        <v>27500</v>
      </c>
      <c r="R609" s="1001"/>
      <c r="S609" s="1004"/>
      <c r="T609" s="1004"/>
    </row>
    <row r="610" spans="2:20" s="1003" customFormat="1" ht="38.25" x14ac:dyDescent="0.25">
      <c r="B610" s="1005" t="s">
        <v>45</v>
      </c>
      <c r="C610" s="1100" t="s">
        <v>2520</v>
      </c>
      <c r="D610" s="1025" t="s">
        <v>40</v>
      </c>
      <c r="E610" s="1001"/>
      <c r="F610" s="1001">
        <v>12</v>
      </c>
      <c r="G610" s="1001">
        <v>15600</v>
      </c>
      <c r="H610" s="1001">
        <v>12</v>
      </c>
      <c r="I610" s="1001">
        <v>16000</v>
      </c>
      <c r="J610" s="1001">
        <v>12</v>
      </c>
      <c r="K610" s="1001">
        <v>17500</v>
      </c>
      <c r="L610" s="1001">
        <v>12</v>
      </c>
      <c r="M610" s="1001">
        <v>18000</v>
      </c>
      <c r="N610" s="1001">
        <v>12</v>
      </c>
      <c r="O610" s="1001">
        <v>18500</v>
      </c>
      <c r="P610" s="1001">
        <v>12</v>
      </c>
      <c r="Q610" s="1001">
        <v>19000</v>
      </c>
      <c r="R610" s="1001"/>
      <c r="S610" s="1004"/>
      <c r="T610" s="1004"/>
    </row>
    <row r="611" spans="2:20" s="1003" customFormat="1" ht="38.25" x14ac:dyDescent="0.25">
      <c r="B611" s="1005" t="s">
        <v>47</v>
      </c>
      <c r="C611" s="1100" t="s">
        <v>2521</v>
      </c>
      <c r="D611" s="1025" t="s">
        <v>40</v>
      </c>
      <c r="E611" s="1001"/>
      <c r="F611" s="1001">
        <v>12</v>
      </c>
      <c r="G611" s="1001">
        <v>2500</v>
      </c>
      <c r="H611" s="1001">
        <v>12</v>
      </c>
      <c r="I611" s="1001">
        <v>2500</v>
      </c>
      <c r="J611" s="1001">
        <v>12</v>
      </c>
      <c r="K611" s="1001">
        <v>2500</v>
      </c>
      <c r="L611" s="1001">
        <v>12</v>
      </c>
      <c r="M611" s="1001">
        <v>3000</v>
      </c>
      <c r="N611" s="1001">
        <v>12</v>
      </c>
      <c r="O611" s="1001">
        <v>3000</v>
      </c>
      <c r="P611" s="1001">
        <v>12</v>
      </c>
      <c r="Q611" s="1001">
        <v>3000</v>
      </c>
      <c r="R611" s="1001"/>
      <c r="S611" s="1004"/>
      <c r="T611" s="1004"/>
    </row>
    <row r="612" spans="2:20" s="1003" customFormat="1" ht="51" x14ac:dyDescent="0.25">
      <c r="B612" s="1005" t="s">
        <v>923</v>
      </c>
      <c r="C612" s="1100" t="s">
        <v>2522</v>
      </c>
      <c r="D612" s="1025" t="s">
        <v>40</v>
      </c>
      <c r="E612" s="1001"/>
      <c r="F612" s="1001">
        <v>12</v>
      </c>
      <c r="G612" s="1001">
        <v>3512</v>
      </c>
      <c r="H612" s="1001">
        <v>12</v>
      </c>
      <c r="I612" s="1001">
        <v>4000</v>
      </c>
      <c r="J612" s="1001">
        <v>12</v>
      </c>
      <c r="K612" s="1001">
        <v>4000</v>
      </c>
      <c r="L612" s="1001">
        <v>12</v>
      </c>
      <c r="M612" s="1001">
        <v>4500</v>
      </c>
      <c r="N612" s="1001">
        <v>12</v>
      </c>
      <c r="O612" s="1001">
        <v>4800</v>
      </c>
      <c r="P612" s="1001">
        <v>12</v>
      </c>
      <c r="Q612" s="1001">
        <v>5000</v>
      </c>
      <c r="R612" s="1001"/>
      <c r="S612" s="1004"/>
      <c r="T612" s="1004"/>
    </row>
    <row r="613" spans="2:20" s="1003" customFormat="1" ht="38.25" x14ac:dyDescent="0.25">
      <c r="B613" s="1005" t="s">
        <v>50</v>
      </c>
      <c r="C613" s="1100" t="s">
        <v>2523</v>
      </c>
      <c r="D613" s="1025" t="s">
        <v>40</v>
      </c>
      <c r="E613" s="1001"/>
      <c r="F613" s="1001">
        <v>12</v>
      </c>
      <c r="G613" s="1001">
        <v>6000</v>
      </c>
      <c r="H613" s="1001">
        <v>12</v>
      </c>
      <c r="I613" s="1001">
        <v>6500</v>
      </c>
      <c r="J613" s="1001">
        <v>12</v>
      </c>
      <c r="K613" s="1001">
        <v>7000</v>
      </c>
      <c r="L613" s="1001">
        <v>12</v>
      </c>
      <c r="M613" s="1001">
        <v>7500</v>
      </c>
      <c r="N613" s="1001">
        <v>12</v>
      </c>
      <c r="O613" s="1001">
        <v>8000</v>
      </c>
      <c r="P613" s="1001">
        <v>12</v>
      </c>
      <c r="Q613" s="1001">
        <v>8500</v>
      </c>
      <c r="R613" s="1001"/>
      <c r="S613" s="1004"/>
      <c r="T613" s="1004"/>
    </row>
    <row r="614" spans="2:20" s="1003" customFormat="1" ht="51" x14ac:dyDescent="0.25">
      <c r="B614" s="1005" t="s">
        <v>52</v>
      </c>
      <c r="C614" s="1100" t="s">
        <v>2524</v>
      </c>
      <c r="D614" s="1025" t="s">
        <v>40</v>
      </c>
      <c r="E614" s="1001"/>
      <c r="F614" s="1001">
        <v>12</v>
      </c>
      <c r="G614" s="1001">
        <v>4700</v>
      </c>
      <c r="H614" s="1001">
        <v>12</v>
      </c>
      <c r="I614" s="1001">
        <v>5000</v>
      </c>
      <c r="J614" s="1001">
        <v>12</v>
      </c>
      <c r="K614" s="1001">
        <v>6000</v>
      </c>
      <c r="L614" s="1001">
        <v>12</v>
      </c>
      <c r="M614" s="1001">
        <v>6000</v>
      </c>
      <c r="N614" s="1001">
        <v>12</v>
      </c>
      <c r="O614" s="1001">
        <v>6500</v>
      </c>
      <c r="P614" s="1001">
        <v>12</v>
      </c>
      <c r="Q614" s="1001">
        <v>6500</v>
      </c>
      <c r="R614" s="1001"/>
      <c r="S614" s="1004"/>
      <c r="T614" s="1004"/>
    </row>
    <row r="615" spans="2:20" s="1003" customFormat="1" ht="76.5" x14ac:dyDescent="0.25">
      <c r="B615" s="1005" t="s">
        <v>782</v>
      </c>
      <c r="C615" s="1100" t="s">
        <v>2525</v>
      </c>
      <c r="D615" s="1025" t="s">
        <v>40</v>
      </c>
      <c r="E615" s="1001"/>
      <c r="F615" s="1001">
        <v>12</v>
      </c>
      <c r="G615" s="1001">
        <v>1000</v>
      </c>
      <c r="H615" s="1001">
        <v>12</v>
      </c>
      <c r="I615" s="1001">
        <v>1750</v>
      </c>
      <c r="J615" s="1001">
        <v>12</v>
      </c>
      <c r="K615" s="1001">
        <v>2000</v>
      </c>
      <c r="L615" s="1001">
        <v>12</v>
      </c>
      <c r="M615" s="1001">
        <v>2000</v>
      </c>
      <c r="N615" s="1001">
        <v>12</v>
      </c>
      <c r="O615" s="1001">
        <v>2500</v>
      </c>
      <c r="P615" s="1001">
        <v>12</v>
      </c>
      <c r="Q615" s="1001">
        <v>3000</v>
      </c>
      <c r="R615" s="1001"/>
      <c r="S615" s="1004"/>
      <c r="T615" s="1004"/>
    </row>
    <row r="616" spans="2:20" s="1003" customFormat="1" ht="63.75" x14ac:dyDescent="0.25">
      <c r="B616" s="1005" t="s">
        <v>3232</v>
      </c>
      <c r="C616" s="1100" t="s">
        <v>2526</v>
      </c>
      <c r="D616" s="1025" t="s">
        <v>40</v>
      </c>
      <c r="E616" s="1001"/>
      <c r="F616" s="1001">
        <v>12</v>
      </c>
      <c r="G616" s="1001">
        <v>2500</v>
      </c>
      <c r="H616" s="1001">
        <v>12</v>
      </c>
      <c r="I616" s="1001">
        <v>3000</v>
      </c>
      <c r="J616" s="1001">
        <v>12</v>
      </c>
      <c r="K616" s="1001">
        <v>3500</v>
      </c>
      <c r="L616" s="1001">
        <v>12</v>
      </c>
      <c r="M616" s="1001">
        <v>3500</v>
      </c>
      <c r="N616" s="1001">
        <v>12</v>
      </c>
      <c r="O616" s="1001">
        <v>3500</v>
      </c>
      <c r="P616" s="1001">
        <v>12</v>
      </c>
      <c r="Q616" s="1001">
        <v>3500</v>
      </c>
      <c r="R616" s="1001"/>
      <c r="S616" s="1004"/>
      <c r="T616" s="1004"/>
    </row>
    <row r="617" spans="2:20" s="1003" customFormat="1" ht="38.25" x14ac:dyDescent="0.25">
      <c r="B617" s="1005" t="s">
        <v>58</v>
      </c>
      <c r="C617" s="1100" t="s">
        <v>2527</v>
      </c>
      <c r="D617" s="1025" t="s">
        <v>40</v>
      </c>
      <c r="E617" s="1001"/>
      <c r="F617" s="1001">
        <v>12</v>
      </c>
      <c r="G617" s="1001">
        <v>9900</v>
      </c>
      <c r="H617" s="1001">
        <v>12</v>
      </c>
      <c r="I617" s="1001">
        <v>10000</v>
      </c>
      <c r="J617" s="1001">
        <v>12</v>
      </c>
      <c r="K617" s="1001">
        <v>10500</v>
      </c>
      <c r="L617" s="1001">
        <v>12</v>
      </c>
      <c r="M617" s="1001">
        <v>11500</v>
      </c>
      <c r="N617" s="1001">
        <v>12</v>
      </c>
      <c r="O617" s="1001">
        <v>12000</v>
      </c>
      <c r="P617" s="1001">
        <v>12</v>
      </c>
      <c r="Q617" s="1001">
        <v>13000</v>
      </c>
      <c r="R617" s="1001"/>
      <c r="S617" s="1004"/>
      <c r="T617" s="1004"/>
    </row>
    <row r="618" spans="2:20" s="1003" customFormat="1" ht="51" x14ac:dyDescent="0.25">
      <c r="B618" s="1005" t="s">
        <v>3233</v>
      </c>
      <c r="C618" s="1100" t="s">
        <v>2529</v>
      </c>
      <c r="D618" s="1025" t="s">
        <v>40</v>
      </c>
      <c r="E618" s="1001"/>
      <c r="F618" s="1001">
        <v>12</v>
      </c>
      <c r="G618" s="1001">
        <v>11870</v>
      </c>
      <c r="H618" s="1001">
        <v>12</v>
      </c>
      <c r="I618" s="1001">
        <v>13000</v>
      </c>
      <c r="J618" s="1001">
        <v>12</v>
      </c>
      <c r="K618" s="1001">
        <v>13500</v>
      </c>
      <c r="L618" s="1001">
        <v>12</v>
      </c>
      <c r="M618" s="1001">
        <v>14000</v>
      </c>
      <c r="N618" s="1001">
        <v>12</v>
      </c>
      <c r="O618" s="1001">
        <v>14000</v>
      </c>
      <c r="P618" s="1001">
        <v>12</v>
      </c>
      <c r="Q618" s="1001">
        <v>15000</v>
      </c>
      <c r="R618" s="1001"/>
      <c r="S618" s="1004"/>
      <c r="T618" s="1004"/>
    </row>
    <row r="619" spans="2:20" s="1003" customFormat="1" ht="51" x14ac:dyDescent="0.25">
      <c r="B619" s="1102" t="s">
        <v>137</v>
      </c>
      <c r="C619" s="1100" t="s">
        <v>2528</v>
      </c>
      <c r="D619" s="1025" t="s">
        <v>40</v>
      </c>
      <c r="E619" s="1001"/>
      <c r="F619" s="1001">
        <v>12</v>
      </c>
      <c r="G619" s="1001">
        <v>1500</v>
      </c>
      <c r="H619" s="1001">
        <v>12</v>
      </c>
      <c r="I619" s="1001">
        <v>2000</v>
      </c>
      <c r="J619" s="1001">
        <v>12</v>
      </c>
      <c r="K619" s="1001">
        <v>2000</v>
      </c>
      <c r="L619" s="1001">
        <v>12</v>
      </c>
      <c r="M619" s="1001">
        <v>2000</v>
      </c>
      <c r="N619" s="1001">
        <v>12</v>
      </c>
      <c r="O619" s="1001">
        <v>3000</v>
      </c>
      <c r="P619" s="1001">
        <v>12</v>
      </c>
      <c r="Q619" s="1001">
        <v>3000</v>
      </c>
      <c r="R619" s="1001"/>
      <c r="S619" s="1004"/>
      <c r="T619" s="1004"/>
    </row>
    <row r="620" spans="2:20" s="1003" customFormat="1" ht="38.25" customHeight="1" x14ac:dyDescent="0.25">
      <c r="B620" s="1061" t="s">
        <v>65</v>
      </c>
      <c r="C620" s="999" t="s">
        <v>3234</v>
      </c>
      <c r="D620" s="1015" t="s">
        <v>19</v>
      </c>
      <c r="E620" s="1001">
        <v>70</v>
      </c>
      <c r="F620" s="1001">
        <v>3</v>
      </c>
      <c r="G620" s="2114">
        <f>SUM(G622:G628)</f>
        <v>22650</v>
      </c>
      <c r="H620" s="1001">
        <v>2</v>
      </c>
      <c r="I620" s="2114">
        <f>SUM(I622:I628)</f>
        <v>27532</v>
      </c>
      <c r="J620" s="1001">
        <v>3</v>
      </c>
      <c r="K620" s="2114">
        <f>SUM(K622:K628)</f>
        <v>55950</v>
      </c>
      <c r="L620" s="1001">
        <v>2</v>
      </c>
      <c r="M620" s="2114">
        <f>SUM(M622:M628)</f>
        <v>23665</v>
      </c>
      <c r="N620" s="1001">
        <v>3</v>
      </c>
      <c r="O620" s="2114">
        <f>SUM(O622:O628)</f>
        <v>36250</v>
      </c>
      <c r="P620" s="1001">
        <v>2</v>
      </c>
      <c r="Q620" s="2114">
        <f>SUM(Q622:Q628)</f>
        <v>40150</v>
      </c>
      <c r="R620" s="1001">
        <f>E620+F620+H620+J620+L620+N620</f>
        <v>83</v>
      </c>
      <c r="S620" s="1004"/>
      <c r="T620" s="1004"/>
    </row>
    <row r="621" spans="2:20" s="1003" customFormat="1" ht="38.25" x14ac:dyDescent="0.25">
      <c r="B621" s="1067"/>
      <c r="C621" s="999" t="s">
        <v>3235</v>
      </c>
      <c r="D621" s="1015" t="s">
        <v>19</v>
      </c>
      <c r="E621" s="1001">
        <v>100</v>
      </c>
      <c r="F621" s="1001">
        <v>100</v>
      </c>
      <c r="G621" s="2114"/>
      <c r="H621" s="1001">
        <v>100</v>
      </c>
      <c r="I621" s="2114"/>
      <c r="J621" s="1001">
        <v>100</v>
      </c>
      <c r="K621" s="2114"/>
      <c r="L621" s="1001">
        <v>100</v>
      </c>
      <c r="M621" s="2114"/>
      <c r="N621" s="1001">
        <v>100</v>
      </c>
      <c r="O621" s="2114"/>
      <c r="P621" s="1001">
        <v>100</v>
      </c>
      <c r="Q621" s="2114"/>
      <c r="R621" s="1001">
        <v>100</v>
      </c>
      <c r="S621" s="1004"/>
      <c r="T621" s="1004"/>
    </row>
    <row r="622" spans="2:20" s="1003" customFormat="1" ht="38.25" x14ac:dyDescent="0.25">
      <c r="B622" s="1007" t="s">
        <v>144</v>
      </c>
      <c r="C622" s="999" t="s">
        <v>3408</v>
      </c>
      <c r="D622" s="1015" t="s">
        <v>69</v>
      </c>
      <c r="E622" s="1001"/>
      <c r="F622" s="1001">
        <v>2</v>
      </c>
      <c r="G622" s="1001"/>
      <c r="H622" s="1001">
        <v>2</v>
      </c>
      <c r="I622" s="1001"/>
      <c r="J622" s="1001">
        <v>2</v>
      </c>
      <c r="K622" s="1001"/>
      <c r="L622" s="1001">
        <v>2</v>
      </c>
      <c r="M622" s="1001"/>
      <c r="N622" s="1001">
        <v>2</v>
      </c>
      <c r="O622" s="1001"/>
      <c r="P622" s="1001">
        <v>2</v>
      </c>
      <c r="Q622" s="1001"/>
      <c r="R622" s="1001"/>
      <c r="S622" s="1004"/>
      <c r="T622" s="1004"/>
    </row>
    <row r="623" spans="2:20" s="1003" customFormat="1" ht="38.25" x14ac:dyDescent="0.25">
      <c r="B623" s="998" t="s">
        <v>3236</v>
      </c>
      <c r="C623" s="1000" t="s">
        <v>3476</v>
      </c>
      <c r="D623" s="1025" t="s">
        <v>75</v>
      </c>
      <c r="E623" s="1001"/>
      <c r="F623" s="1001">
        <v>3</v>
      </c>
      <c r="G623" s="1001">
        <v>3500</v>
      </c>
      <c r="H623" s="1001">
        <v>30</v>
      </c>
      <c r="I623" s="1001">
        <v>16382</v>
      </c>
      <c r="J623" s="1001">
        <v>30</v>
      </c>
      <c r="K623" s="1001">
        <v>18000</v>
      </c>
      <c r="L623" s="1001">
        <v>30</v>
      </c>
      <c r="M623" s="1001">
        <v>18000</v>
      </c>
      <c r="N623" s="1001">
        <v>30</v>
      </c>
      <c r="O623" s="1001">
        <v>19500</v>
      </c>
      <c r="P623" s="1001">
        <v>30</v>
      </c>
      <c r="Q623" s="1001">
        <v>20000</v>
      </c>
      <c r="R623" s="1001"/>
      <c r="S623" s="1004"/>
      <c r="T623" s="1004"/>
    </row>
    <row r="624" spans="2:20" s="1003" customFormat="1" ht="51" x14ac:dyDescent="0.25">
      <c r="B624" s="998" t="s">
        <v>3477</v>
      </c>
      <c r="C624" s="1000" t="s">
        <v>3478</v>
      </c>
      <c r="D624" s="1025" t="s">
        <v>251</v>
      </c>
      <c r="E624" s="1001"/>
      <c r="F624" s="1001" t="s">
        <v>313</v>
      </c>
      <c r="G624" s="1001" t="s">
        <v>313</v>
      </c>
      <c r="H624" s="1001" t="s">
        <v>313</v>
      </c>
      <c r="I624" s="1001" t="s">
        <v>313</v>
      </c>
      <c r="J624" s="1001">
        <v>1</v>
      </c>
      <c r="K624" s="1001">
        <v>26000</v>
      </c>
      <c r="L624" s="1001" t="s">
        <v>313</v>
      </c>
      <c r="M624" s="1001" t="s">
        <v>313</v>
      </c>
      <c r="N624" s="1001" t="s">
        <v>313</v>
      </c>
      <c r="O624" s="1001" t="s">
        <v>313</v>
      </c>
      <c r="P624" s="1001" t="s">
        <v>313</v>
      </c>
      <c r="Q624" s="1001" t="s">
        <v>313</v>
      </c>
      <c r="R624" s="1001"/>
      <c r="S624" s="1004"/>
      <c r="T624" s="1004"/>
    </row>
    <row r="625" spans="2:20" s="1003" customFormat="1" ht="25.5" x14ac:dyDescent="0.25">
      <c r="B625" s="998" t="s">
        <v>3238</v>
      </c>
      <c r="C625" s="1000" t="s">
        <v>3461</v>
      </c>
      <c r="D625" s="1025" t="s">
        <v>75</v>
      </c>
      <c r="E625" s="1001"/>
      <c r="F625" s="1001">
        <v>1</v>
      </c>
      <c r="G625" s="1001">
        <v>7000</v>
      </c>
      <c r="H625" s="1001">
        <v>1</v>
      </c>
      <c r="I625" s="1001">
        <v>7000</v>
      </c>
      <c r="J625" s="1001">
        <v>1</v>
      </c>
      <c r="K625" s="1001">
        <v>7000</v>
      </c>
      <c r="L625" s="1001">
        <v>1</v>
      </c>
      <c r="M625" s="1001">
        <v>15</v>
      </c>
      <c r="N625" s="1001">
        <v>1</v>
      </c>
      <c r="O625" s="1001">
        <v>8000</v>
      </c>
      <c r="P625" s="1001">
        <v>1</v>
      </c>
      <c r="Q625" s="1001">
        <v>10000</v>
      </c>
      <c r="R625" s="1001"/>
      <c r="S625" s="1004"/>
      <c r="T625" s="1004"/>
    </row>
    <row r="626" spans="2:20" s="1003" customFormat="1" ht="38.25" x14ac:dyDescent="0.25">
      <c r="B626" s="1007" t="s">
        <v>3240</v>
      </c>
      <c r="C626" s="999" t="s">
        <v>3241</v>
      </c>
      <c r="D626" s="1015" t="s">
        <v>40</v>
      </c>
      <c r="E626" s="1001"/>
      <c r="F626" s="1001">
        <v>12</v>
      </c>
      <c r="G626" s="1001">
        <v>1650</v>
      </c>
      <c r="H626" s="1001">
        <v>12</v>
      </c>
      <c r="I626" s="1001">
        <v>1250</v>
      </c>
      <c r="J626" s="1001">
        <v>12</v>
      </c>
      <c r="K626" s="1001">
        <v>1650</v>
      </c>
      <c r="L626" s="1001">
        <v>12</v>
      </c>
      <c r="M626" s="1001">
        <v>2000</v>
      </c>
      <c r="N626" s="1001">
        <v>12</v>
      </c>
      <c r="O626" s="1001">
        <v>2100</v>
      </c>
      <c r="P626" s="1001">
        <v>12</v>
      </c>
      <c r="Q626" s="1001">
        <v>2500</v>
      </c>
      <c r="R626" s="1001"/>
      <c r="S626" s="1004"/>
      <c r="T626" s="1004"/>
    </row>
    <row r="627" spans="2:20" s="1003" customFormat="1" ht="38.25" x14ac:dyDescent="0.25">
      <c r="B627" s="1007" t="s">
        <v>3242</v>
      </c>
      <c r="C627" s="999" t="s">
        <v>3160</v>
      </c>
      <c r="D627" s="1015" t="s">
        <v>40</v>
      </c>
      <c r="E627" s="1001"/>
      <c r="F627" s="1001">
        <v>12</v>
      </c>
      <c r="G627" s="1001">
        <v>8850</v>
      </c>
      <c r="H627" s="1001">
        <v>12</v>
      </c>
      <c r="I627" s="1001">
        <v>1250</v>
      </c>
      <c r="J627" s="1001">
        <v>12</v>
      </c>
      <c r="K627" s="1001">
        <v>1650</v>
      </c>
      <c r="L627" s="1001">
        <v>12</v>
      </c>
      <c r="M627" s="1001">
        <v>2000</v>
      </c>
      <c r="N627" s="1001">
        <v>12</v>
      </c>
      <c r="O627" s="1001">
        <v>5000</v>
      </c>
      <c r="P627" s="1001">
        <v>12</v>
      </c>
      <c r="Q627" s="1001">
        <v>6000</v>
      </c>
      <c r="R627" s="1001"/>
      <c r="S627" s="1004"/>
      <c r="T627" s="1004"/>
    </row>
    <row r="628" spans="2:20" s="1003" customFormat="1" ht="38.25" x14ac:dyDescent="0.25">
      <c r="B628" s="1007" t="s">
        <v>3243</v>
      </c>
      <c r="C628" s="999" t="s">
        <v>3244</v>
      </c>
      <c r="D628" s="1015" t="s">
        <v>40</v>
      </c>
      <c r="E628" s="1001"/>
      <c r="F628" s="1001">
        <v>12</v>
      </c>
      <c r="G628" s="1001">
        <v>1650</v>
      </c>
      <c r="H628" s="1001">
        <v>12</v>
      </c>
      <c r="I628" s="1001">
        <v>1650</v>
      </c>
      <c r="J628" s="1001">
        <v>12</v>
      </c>
      <c r="K628" s="1001">
        <v>1650</v>
      </c>
      <c r="L628" s="1001">
        <v>12</v>
      </c>
      <c r="M628" s="1001">
        <v>1650</v>
      </c>
      <c r="N628" s="1001">
        <v>12</v>
      </c>
      <c r="O628" s="1001">
        <v>1650</v>
      </c>
      <c r="P628" s="1001">
        <v>12</v>
      </c>
      <c r="Q628" s="1001">
        <v>1650</v>
      </c>
      <c r="R628" s="1001"/>
      <c r="S628" s="1004"/>
      <c r="T628" s="1004"/>
    </row>
    <row r="629" spans="2:20" s="1003" customFormat="1" ht="63.75" x14ac:dyDescent="0.25">
      <c r="B629" s="1106" t="s">
        <v>3245</v>
      </c>
      <c r="C629" s="1000" t="s">
        <v>3246</v>
      </c>
      <c r="D629" s="1025" t="s">
        <v>79</v>
      </c>
      <c r="E629" s="1001"/>
      <c r="F629" s="1001">
        <v>5</v>
      </c>
      <c r="G629" s="1001">
        <v>3400</v>
      </c>
      <c r="H629" s="1001">
        <v>5</v>
      </c>
      <c r="I629" s="1001">
        <v>3400</v>
      </c>
      <c r="J629" s="1001">
        <v>5</v>
      </c>
      <c r="K629" s="1001">
        <v>4000</v>
      </c>
      <c r="L629" s="1001">
        <v>5</v>
      </c>
      <c r="M629" s="1001">
        <v>4000</v>
      </c>
      <c r="N629" s="1001">
        <v>5</v>
      </c>
      <c r="O629" s="1001">
        <v>5000</v>
      </c>
      <c r="P629" s="1001">
        <v>5</v>
      </c>
      <c r="Q629" s="1001">
        <v>5000</v>
      </c>
      <c r="R629" s="1001"/>
      <c r="S629" s="1004"/>
      <c r="T629" s="1004"/>
    </row>
    <row r="630" spans="2:20" s="1003" customFormat="1" ht="102" x14ac:dyDescent="0.25">
      <c r="B630" s="998" t="s">
        <v>80</v>
      </c>
      <c r="C630" s="1000" t="s">
        <v>3479</v>
      </c>
      <c r="D630" s="1025" t="s">
        <v>79</v>
      </c>
      <c r="E630" s="1001"/>
      <c r="F630" s="1001">
        <v>5</v>
      </c>
      <c r="G630" s="1001">
        <v>3400</v>
      </c>
      <c r="H630" s="1001">
        <v>5</v>
      </c>
      <c r="I630" s="1001">
        <v>3400</v>
      </c>
      <c r="J630" s="1001">
        <v>5</v>
      </c>
      <c r="K630" s="1001">
        <v>4000</v>
      </c>
      <c r="L630" s="1001">
        <v>5</v>
      </c>
      <c r="M630" s="1001">
        <v>4000</v>
      </c>
      <c r="N630" s="1001">
        <v>5</v>
      </c>
      <c r="O630" s="1001">
        <v>5000</v>
      </c>
      <c r="P630" s="1001">
        <v>5</v>
      </c>
      <c r="Q630" s="1001">
        <v>5000</v>
      </c>
      <c r="R630" s="1001"/>
      <c r="S630" s="1004"/>
      <c r="T630" s="1004"/>
    </row>
    <row r="631" spans="2:20" s="1003" customFormat="1" ht="48" x14ac:dyDescent="0.25">
      <c r="B631" s="1106" t="s">
        <v>3248</v>
      </c>
      <c r="C631" s="1000" t="s">
        <v>3249</v>
      </c>
      <c r="D631" s="1025" t="s">
        <v>79</v>
      </c>
      <c r="E631" s="1001">
        <v>5</v>
      </c>
      <c r="F631" s="1001">
        <v>1</v>
      </c>
      <c r="G631" s="1001">
        <v>8400</v>
      </c>
      <c r="H631" s="1001">
        <v>2</v>
      </c>
      <c r="I631" s="1001">
        <v>9450</v>
      </c>
      <c r="J631" s="1001">
        <f t="shared" ref="J631:P631" si="63">J632</f>
        <v>2</v>
      </c>
      <c r="K631" s="1001">
        <v>9450</v>
      </c>
      <c r="L631" s="1001">
        <f t="shared" si="63"/>
        <v>2</v>
      </c>
      <c r="M631" s="1001">
        <v>10000</v>
      </c>
      <c r="N631" s="1001">
        <f t="shared" si="63"/>
        <v>2</v>
      </c>
      <c r="O631" s="1001">
        <v>10000</v>
      </c>
      <c r="P631" s="1001">
        <f t="shared" si="63"/>
        <v>2</v>
      </c>
      <c r="Q631" s="1001">
        <v>10000</v>
      </c>
      <c r="R631" s="1001">
        <v>30</v>
      </c>
      <c r="S631" s="1004"/>
      <c r="T631" s="1004"/>
    </row>
    <row r="632" spans="2:20" s="1003" customFormat="1" ht="63.75" x14ac:dyDescent="0.25">
      <c r="B632" s="998" t="s">
        <v>1712</v>
      </c>
      <c r="C632" s="1000" t="s">
        <v>3250</v>
      </c>
      <c r="D632" s="1025"/>
      <c r="E632" s="1001"/>
      <c r="F632" s="1001">
        <v>1</v>
      </c>
      <c r="G632" s="1001">
        <v>8400</v>
      </c>
      <c r="H632" s="1001">
        <v>2</v>
      </c>
      <c r="I632" s="1001">
        <v>9450</v>
      </c>
      <c r="J632" s="1001">
        <v>2</v>
      </c>
      <c r="K632" s="1001">
        <v>9450</v>
      </c>
      <c r="L632" s="1001">
        <v>2</v>
      </c>
      <c r="M632" s="1001">
        <v>10000</v>
      </c>
      <c r="N632" s="1001">
        <v>2</v>
      </c>
      <c r="O632" s="1001">
        <v>10000</v>
      </c>
      <c r="P632" s="1001">
        <v>2</v>
      </c>
      <c r="Q632" s="1001">
        <v>10000</v>
      </c>
      <c r="R632" s="1001"/>
      <c r="S632" s="1004"/>
      <c r="T632" s="1004"/>
    </row>
    <row r="633" spans="2:20" s="1003" customFormat="1" ht="63.75" customHeight="1" x14ac:dyDescent="0.25">
      <c r="B633" s="1065" t="s">
        <v>3307</v>
      </c>
      <c r="C633" s="1000" t="s">
        <v>3252</v>
      </c>
      <c r="D633" s="1025" t="s">
        <v>79</v>
      </c>
      <c r="E633" s="1001">
        <v>5</v>
      </c>
      <c r="F633" s="1001">
        <v>1</v>
      </c>
      <c r="G633" s="2114">
        <f>SUM(G635:G636)</f>
        <v>29400</v>
      </c>
      <c r="H633" s="1001">
        <v>1</v>
      </c>
      <c r="I633" s="2114">
        <f>SUM(I635:I636)</f>
        <v>33000</v>
      </c>
      <c r="J633" s="1001">
        <v>1</v>
      </c>
      <c r="K633" s="2114">
        <f>SUM(K635:K636)</f>
        <v>34500</v>
      </c>
      <c r="L633" s="1001">
        <v>1</v>
      </c>
      <c r="M633" s="2114">
        <f>SUM(M635:M636)</f>
        <v>37500</v>
      </c>
      <c r="N633" s="1001">
        <v>1</v>
      </c>
      <c r="O633" s="2114">
        <f>SUM(O635:O636)</f>
        <v>42500</v>
      </c>
      <c r="P633" s="1001">
        <v>1</v>
      </c>
      <c r="Q633" s="2114">
        <f>SUM(Q635:Q636)</f>
        <v>47500</v>
      </c>
      <c r="R633" s="1001">
        <v>21</v>
      </c>
      <c r="S633" s="1004"/>
      <c r="T633" s="1004"/>
    </row>
    <row r="634" spans="2:20" s="1003" customFormat="1" ht="38.25" x14ac:dyDescent="0.25">
      <c r="B634" s="1066"/>
      <c r="C634" s="1000" t="s">
        <v>3253</v>
      </c>
      <c r="D634" s="1025" t="s">
        <v>79</v>
      </c>
      <c r="E634" s="1001">
        <v>5</v>
      </c>
      <c r="F634" s="1001">
        <v>1</v>
      </c>
      <c r="G634" s="2114"/>
      <c r="H634" s="1001">
        <v>1</v>
      </c>
      <c r="I634" s="2114"/>
      <c r="J634" s="1001">
        <v>1</v>
      </c>
      <c r="K634" s="2114"/>
      <c r="L634" s="1001">
        <v>1</v>
      </c>
      <c r="M634" s="2114"/>
      <c r="N634" s="1001">
        <v>1</v>
      </c>
      <c r="O634" s="2114"/>
      <c r="P634" s="1001">
        <v>1</v>
      </c>
      <c r="Q634" s="2114"/>
      <c r="R634" s="1001">
        <f>E634+F634+H634+J634+L634+N634</f>
        <v>10</v>
      </c>
      <c r="S634" s="1004"/>
      <c r="T634" s="1004"/>
    </row>
    <row r="635" spans="2:20" s="1003" customFormat="1" ht="38.25" x14ac:dyDescent="0.25">
      <c r="B635" s="998" t="s">
        <v>3254</v>
      </c>
      <c r="C635" s="1000" t="s">
        <v>3255</v>
      </c>
      <c r="D635" s="1025" t="s">
        <v>103</v>
      </c>
      <c r="E635" s="1001"/>
      <c r="F635" s="1001">
        <v>2</v>
      </c>
      <c r="G635" s="1001">
        <v>18900</v>
      </c>
      <c r="H635" s="1001">
        <v>2</v>
      </c>
      <c r="I635" s="1001">
        <v>21000</v>
      </c>
      <c r="J635" s="1001">
        <v>2</v>
      </c>
      <c r="K635" s="1001">
        <v>22000</v>
      </c>
      <c r="L635" s="1001">
        <v>2</v>
      </c>
      <c r="M635" s="1001">
        <v>25000</v>
      </c>
      <c r="N635" s="1001">
        <v>2</v>
      </c>
      <c r="O635" s="1001">
        <v>30000</v>
      </c>
      <c r="P635" s="1001">
        <v>2</v>
      </c>
      <c r="Q635" s="1001">
        <v>35000</v>
      </c>
      <c r="R635" s="1001"/>
      <c r="S635" s="1004"/>
      <c r="T635" s="1004"/>
    </row>
    <row r="636" spans="2:20" s="1003" customFormat="1" ht="51" x14ac:dyDescent="0.25">
      <c r="B636" s="998" t="s">
        <v>3256</v>
      </c>
      <c r="C636" s="1000" t="s">
        <v>3257</v>
      </c>
      <c r="D636" s="1025" t="s">
        <v>103</v>
      </c>
      <c r="E636" s="1001"/>
      <c r="F636" s="1001">
        <v>21</v>
      </c>
      <c r="G636" s="1001">
        <v>10500</v>
      </c>
      <c r="H636" s="1001">
        <v>21</v>
      </c>
      <c r="I636" s="1001">
        <v>12000</v>
      </c>
      <c r="J636" s="1001">
        <v>21</v>
      </c>
      <c r="K636" s="1001">
        <v>12500</v>
      </c>
      <c r="L636" s="1001">
        <v>21</v>
      </c>
      <c r="M636" s="1001">
        <v>12500</v>
      </c>
      <c r="N636" s="1001">
        <v>21</v>
      </c>
      <c r="O636" s="1001">
        <v>12500</v>
      </c>
      <c r="P636" s="1001">
        <v>21</v>
      </c>
      <c r="Q636" s="1001">
        <v>12500</v>
      </c>
      <c r="R636" s="1001"/>
      <c r="S636" s="1004"/>
      <c r="T636" s="1004"/>
    </row>
    <row r="637" spans="2:20" s="1003" customFormat="1" ht="51" x14ac:dyDescent="0.25">
      <c r="B637" s="1106" t="s">
        <v>3420</v>
      </c>
      <c r="C637" s="1000" t="s">
        <v>3386</v>
      </c>
      <c r="D637" s="1025" t="s">
        <v>19</v>
      </c>
      <c r="E637" s="1001">
        <v>100</v>
      </c>
      <c r="F637" s="1001">
        <v>100</v>
      </c>
      <c r="G637" s="1001">
        <f>G638</f>
        <v>53000</v>
      </c>
      <c r="H637" s="1001">
        <v>100</v>
      </c>
      <c r="I637" s="1001">
        <f>I638</f>
        <v>51000</v>
      </c>
      <c r="J637" s="1001">
        <v>100</v>
      </c>
      <c r="K637" s="1001">
        <f>K638</f>
        <v>54000</v>
      </c>
      <c r="L637" s="1001">
        <v>100</v>
      </c>
      <c r="M637" s="1001">
        <f>M638</f>
        <v>55000</v>
      </c>
      <c r="N637" s="1001">
        <v>100</v>
      </c>
      <c r="O637" s="1001">
        <f>O638</f>
        <v>56000</v>
      </c>
      <c r="P637" s="1001">
        <v>100</v>
      </c>
      <c r="Q637" s="1001">
        <f>Q638</f>
        <v>57000</v>
      </c>
      <c r="R637" s="1001">
        <v>100</v>
      </c>
      <c r="S637" s="1004"/>
      <c r="T637" s="1004"/>
    </row>
    <row r="638" spans="2:20" s="1003" customFormat="1" ht="25.5" x14ac:dyDescent="0.25">
      <c r="B638" s="998" t="s">
        <v>3421</v>
      </c>
      <c r="C638" s="1000" t="s">
        <v>3422</v>
      </c>
      <c r="D638" s="1025" t="s">
        <v>40</v>
      </c>
      <c r="E638" s="1001"/>
      <c r="F638" s="1001">
        <v>12</v>
      </c>
      <c r="G638" s="1001">
        <v>53000</v>
      </c>
      <c r="H638" s="1001">
        <v>12</v>
      </c>
      <c r="I638" s="1001">
        <v>51000</v>
      </c>
      <c r="J638" s="1001">
        <v>12</v>
      </c>
      <c r="K638" s="1001">
        <v>54000</v>
      </c>
      <c r="L638" s="1001">
        <v>12</v>
      </c>
      <c r="M638" s="1001">
        <v>55000</v>
      </c>
      <c r="N638" s="1001">
        <v>12</v>
      </c>
      <c r="O638" s="1001">
        <v>56000</v>
      </c>
      <c r="P638" s="1001">
        <v>12</v>
      </c>
      <c r="Q638" s="1001">
        <v>57000</v>
      </c>
      <c r="R638" s="1001"/>
      <c r="S638" s="1004"/>
      <c r="T638" s="1004"/>
    </row>
    <row r="639" spans="2:20" s="1003" customFormat="1" ht="84" x14ac:dyDescent="0.25">
      <c r="B639" s="1106" t="s">
        <v>1743</v>
      </c>
      <c r="C639" s="1000" t="s">
        <v>3265</v>
      </c>
      <c r="D639" s="1025" t="s">
        <v>19</v>
      </c>
      <c r="E639" s="1001">
        <v>50</v>
      </c>
      <c r="F639" s="1001">
        <v>60</v>
      </c>
      <c r="G639" s="1001">
        <f>SUM(G640:G641)</f>
        <v>38400</v>
      </c>
      <c r="H639" s="1001">
        <v>70</v>
      </c>
      <c r="I639" s="1001">
        <f>SUM(I640:I641)</f>
        <v>39000</v>
      </c>
      <c r="J639" s="1001">
        <v>80</v>
      </c>
      <c r="K639" s="1001">
        <f>SUM(K640:K641)</f>
        <v>39000</v>
      </c>
      <c r="L639" s="1001">
        <v>90</v>
      </c>
      <c r="M639" s="1001">
        <f>SUM(M640:M641)</f>
        <v>39000</v>
      </c>
      <c r="N639" s="1001">
        <v>100</v>
      </c>
      <c r="O639" s="1001">
        <f>SUM(O640:O641)</f>
        <v>39000</v>
      </c>
      <c r="P639" s="1001">
        <v>100</v>
      </c>
      <c r="Q639" s="1001">
        <f>SUM(Q640:Q641)</f>
        <v>39000</v>
      </c>
      <c r="R639" s="1001">
        <v>100</v>
      </c>
      <c r="S639" s="1004"/>
      <c r="T639" s="1004"/>
    </row>
    <row r="640" spans="2:20" s="1003" customFormat="1" ht="25.5" x14ac:dyDescent="0.25">
      <c r="B640" s="998" t="s">
        <v>3480</v>
      </c>
      <c r="C640" s="1000" t="s">
        <v>3267</v>
      </c>
      <c r="D640" s="1025" t="s">
        <v>103</v>
      </c>
      <c r="E640" s="1001"/>
      <c r="F640" s="1001">
        <v>21</v>
      </c>
      <c r="G640" s="1001">
        <v>29400</v>
      </c>
      <c r="H640" s="1001">
        <v>21</v>
      </c>
      <c r="I640" s="1001">
        <v>30000</v>
      </c>
      <c r="J640" s="1001">
        <v>21</v>
      </c>
      <c r="K640" s="1001">
        <v>30000</v>
      </c>
      <c r="L640" s="1001">
        <v>10</v>
      </c>
      <c r="M640" s="1001">
        <v>30000</v>
      </c>
      <c r="N640" s="1001">
        <v>10</v>
      </c>
      <c r="O640" s="1001">
        <v>30000</v>
      </c>
      <c r="P640" s="1001">
        <v>10</v>
      </c>
      <c r="Q640" s="1001">
        <v>30000</v>
      </c>
      <c r="R640" s="1001"/>
      <c r="S640" s="1004"/>
      <c r="T640" s="1004"/>
    </row>
    <row r="641" spans="2:20" s="1003" customFormat="1" ht="76.5" x14ac:dyDescent="0.25">
      <c r="B641" s="998" t="s">
        <v>3390</v>
      </c>
      <c r="C641" s="1000" t="s">
        <v>3273</v>
      </c>
      <c r="D641" s="1025" t="s">
        <v>103</v>
      </c>
      <c r="E641" s="1001"/>
      <c r="F641" s="1001">
        <v>21</v>
      </c>
      <c r="G641" s="1001">
        <v>9000</v>
      </c>
      <c r="H641" s="1001">
        <v>21</v>
      </c>
      <c r="I641" s="1001">
        <v>9000</v>
      </c>
      <c r="J641" s="1001">
        <v>21</v>
      </c>
      <c r="K641" s="1001">
        <v>9000</v>
      </c>
      <c r="L641" s="1001">
        <v>21</v>
      </c>
      <c r="M641" s="1001">
        <v>9000</v>
      </c>
      <c r="N641" s="1001">
        <v>21</v>
      </c>
      <c r="O641" s="1001">
        <v>9000</v>
      </c>
      <c r="P641" s="1001">
        <v>21</v>
      </c>
      <c r="Q641" s="1001">
        <v>9000</v>
      </c>
      <c r="R641" s="1001"/>
      <c r="S641" s="1004"/>
      <c r="T641" s="1004"/>
    </row>
    <row r="642" spans="2:20" s="1003" customFormat="1" ht="76.5" customHeight="1" x14ac:dyDescent="0.25">
      <c r="B642" s="1063" t="s">
        <v>3425</v>
      </c>
      <c r="C642" s="1000" t="s">
        <v>3274</v>
      </c>
      <c r="D642" s="1025" t="s">
        <v>79</v>
      </c>
      <c r="E642" s="1001">
        <v>1</v>
      </c>
      <c r="F642" s="1001">
        <v>1</v>
      </c>
      <c r="G642" s="1001">
        <f>G643</f>
        <v>6300</v>
      </c>
      <c r="H642" s="1001">
        <v>1</v>
      </c>
      <c r="I642" s="1001">
        <f>I643</f>
        <v>7350</v>
      </c>
      <c r="J642" s="1001">
        <v>1</v>
      </c>
      <c r="K642" s="1001">
        <f>K643</f>
        <v>8000</v>
      </c>
      <c r="L642" s="1001">
        <v>1</v>
      </c>
      <c r="M642" s="1001">
        <f>M643</f>
        <v>8300</v>
      </c>
      <c r="N642" s="1001">
        <v>1</v>
      </c>
      <c r="O642" s="1001">
        <f>O643</f>
        <v>8350</v>
      </c>
      <c r="P642" s="1001">
        <v>1</v>
      </c>
      <c r="Q642" s="1001">
        <f>Q643</f>
        <v>9000</v>
      </c>
      <c r="R642" s="1001">
        <f>E642+F642+H642+J642+L642+N642</f>
        <v>6</v>
      </c>
      <c r="S642" s="1004"/>
      <c r="T642" s="1004"/>
    </row>
    <row r="643" spans="2:20" s="1003" customFormat="1" ht="25.5" x14ac:dyDescent="0.25">
      <c r="B643" s="1008" t="s">
        <v>3277</v>
      </c>
      <c r="C643" s="1000" t="s">
        <v>3278</v>
      </c>
      <c r="D643" s="1025" t="s">
        <v>103</v>
      </c>
      <c r="E643" s="1001"/>
      <c r="F643" s="1001">
        <v>21</v>
      </c>
      <c r="G643" s="1001">
        <v>6300</v>
      </c>
      <c r="H643" s="1001">
        <v>21</v>
      </c>
      <c r="I643" s="1001">
        <v>7350</v>
      </c>
      <c r="J643" s="1001">
        <v>21</v>
      </c>
      <c r="K643" s="1001">
        <v>8000</v>
      </c>
      <c r="L643" s="1001">
        <v>21</v>
      </c>
      <c r="M643" s="1001">
        <v>8300</v>
      </c>
      <c r="N643" s="1001">
        <v>21</v>
      </c>
      <c r="O643" s="1001">
        <v>8350</v>
      </c>
      <c r="P643" s="1001">
        <v>21</v>
      </c>
      <c r="Q643" s="1001">
        <v>9000</v>
      </c>
      <c r="R643" s="1001"/>
      <c r="S643" s="1004"/>
      <c r="T643" s="1004"/>
    </row>
    <row r="644" spans="2:20" s="1003" customFormat="1" ht="63.75" customHeight="1" x14ac:dyDescent="0.25">
      <c r="B644" s="1063" t="s">
        <v>3280</v>
      </c>
      <c r="C644" s="1000" t="s">
        <v>3279</v>
      </c>
      <c r="D644" s="1025" t="s">
        <v>327</v>
      </c>
      <c r="E644" s="1001">
        <v>16</v>
      </c>
      <c r="F644" s="1001">
        <v>20</v>
      </c>
      <c r="G644" s="1001">
        <f>SUM(G645:G646)</f>
        <v>4000</v>
      </c>
      <c r="H644" s="1001">
        <v>24</v>
      </c>
      <c r="I644" s="1001">
        <f>SUM(I645:I646)</f>
        <v>4500</v>
      </c>
      <c r="J644" s="1001">
        <v>28</v>
      </c>
      <c r="K644" s="1001">
        <f>SUM(K645:K646)</f>
        <v>5000</v>
      </c>
      <c r="L644" s="1001">
        <v>32</v>
      </c>
      <c r="M644" s="1001">
        <f>SUM(M645:M646)</f>
        <v>5500</v>
      </c>
      <c r="N644" s="1001">
        <v>36</v>
      </c>
      <c r="O644" s="1001">
        <f>SUM(O645:O646)</f>
        <v>6000</v>
      </c>
      <c r="P644" s="1001">
        <v>40</v>
      </c>
      <c r="Q644" s="1001">
        <f>SUM(Q645:Q646)</f>
        <v>6500</v>
      </c>
      <c r="R644" s="1001">
        <f>N644</f>
        <v>36</v>
      </c>
      <c r="S644" s="1004"/>
      <c r="T644" s="1004"/>
    </row>
    <row r="645" spans="2:20" s="1003" customFormat="1" ht="38.25" x14ac:dyDescent="0.25">
      <c r="B645" s="1008" t="s">
        <v>1298</v>
      </c>
      <c r="C645" s="1000" t="s">
        <v>3281</v>
      </c>
      <c r="D645" s="1025" t="s">
        <v>327</v>
      </c>
      <c r="E645" s="1001"/>
      <c r="F645" s="1001"/>
      <c r="G645" s="1001"/>
      <c r="H645" s="1001"/>
      <c r="I645" s="1001"/>
      <c r="J645" s="1001"/>
      <c r="K645" s="1001"/>
      <c r="L645" s="1001"/>
      <c r="M645" s="1001"/>
      <c r="N645" s="1001"/>
      <c r="O645" s="1001"/>
      <c r="P645" s="1001"/>
      <c r="Q645" s="1001"/>
      <c r="R645" s="1001"/>
      <c r="S645" s="1004"/>
      <c r="T645" s="1004"/>
    </row>
    <row r="646" spans="2:20" s="1003" customFormat="1" ht="38.25" x14ac:dyDescent="0.25">
      <c r="B646" s="1008" t="s">
        <v>3282</v>
      </c>
      <c r="C646" s="1000" t="s">
        <v>3283</v>
      </c>
      <c r="D646" s="1025" t="s">
        <v>327</v>
      </c>
      <c r="E646" s="1001"/>
      <c r="F646" s="1001">
        <v>1</v>
      </c>
      <c r="G646" s="1001">
        <v>4000</v>
      </c>
      <c r="H646" s="1001">
        <v>1</v>
      </c>
      <c r="I646" s="1001">
        <v>4500</v>
      </c>
      <c r="J646" s="1001">
        <v>1</v>
      </c>
      <c r="K646" s="1001">
        <v>5000</v>
      </c>
      <c r="L646" s="1001">
        <v>1</v>
      </c>
      <c r="M646" s="1001">
        <v>5500</v>
      </c>
      <c r="N646" s="1001">
        <v>1</v>
      </c>
      <c r="O646" s="1001">
        <v>6000</v>
      </c>
      <c r="P646" s="1001">
        <v>20</v>
      </c>
      <c r="Q646" s="1001">
        <v>6500</v>
      </c>
      <c r="R646" s="1001"/>
      <c r="S646" s="1004"/>
      <c r="T646" s="1004"/>
    </row>
    <row r="647" spans="2:20" s="1003" customFormat="1" ht="60" x14ac:dyDescent="0.25">
      <c r="B647" s="1106" t="s">
        <v>3284</v>
      </c>
      <c r="C647" s="1009" t="s">
        <v>3285</v>
      </c>
      <c r="D647" s="1025" t="s">
        <v>364</v>
      </c>
      <c r="E647" s="1001">
        <v>100</v>
      </c>
      <c r="F647" s="1001">
        <v>90</v>
      </c>
      <c r="G647" s="1001">
        <f>G648</f>
        <v>0</v>
      </c>
      <c r="H647" s="1001">
        <v>80</v>
      </c>
      <c r="I647" s="1001">
        <f>I648</f>
        <v>5000</v>
      </c>
      <c r="J647" s="1001">
        <v>70</v>
      </c>
      <c r="K647" s="1001">
        <f>K648</f>
        <v>6000</v>
      </c>
      <c r="L647" s="1001">
        <v>60</v>
      </c>
      <c r="M647" s="1001">
        <f>M648</f>
        <v>6000</v>
      </c>
      <c r="N647" s="1001">
        <v>50</v>
      </c>
      <c r="O647" s="1001">
        <f>O648</f>
        <v>6500</v>
      </c>
      <c r="P647" s="1001">
        <v>50</v>
      </c>
      <c r="Q647" s="1001">
        <f>Q648</f>
        <v>6500</v>
      </c>
      <c r="R647" s="1001">
        <f>N647</f>
        <v>50</v>
      </c>
      <c r="S647" s="1004"/>
      <c r="T647" s="1004"/>
    </row>
    <row r="648" spans="2:20" s="1003" customFormat="1" ht="63.75" x14ac:dyDescent="0.25">
      <c r="B648" s="998" t="s">
        <v>3286</v>
      </c>
      <c r="C648" s="1009" t="s">
        <v>3287</v>
      </c>
      <c r="D648" s="1025" t="s">
        <v>100</v>
      </c>
      <c r="E648" s="1001"/>
      <c r="F648" s="1001"/>
      <c r="G648" s="1001"/>
      <c r="H648" s="1001">
        <v>42</v>
      </c>
      <c r="I648" s="1001">
        <v>5000</v>
      </c>
      <c r="J648" s="1001">
        <v>42</v>
      </c>
      <c r="K648" s="1001">
        <v>6000</v>
      </c>
      <c r="L648" s="1001">
        <v>42</v>
      </c>
      <c r="M648" s="1001">
        <v>6000</v>
      </c>
      <c r="N648" s="1001">
        <v>42</v>
      </c>
      <c r="O648" s="1001">
        <v>6500</v>
      </c>
      <c r="P648" s="1001">
        <v>42</v>
      </c>
      <c r="Q648" s="1001">
        <v>6500</v>
      </c>
      <c r="R648" s="1001"/>
      <c r="S648" s="1004"/>
      <c r="T648" s="1004"/>
    </row>
    <row r="649" spans="2:20" s="1003" customFormat="1" ht="48" x14ac:dyDescent="0.25">
      <c r="B649" s="1106" t="s">
        <v>3289</v>
      </c>
      <c r="C649" s="1009" t="s">
        <v>3288</v>
      </c>
      <c r="D649" s="1025" t="s">
        <v>100</v>
      </c>
      <c r="E649" s="1001">
        <v>30</v>
      </c>
      <c r="F649" s="1001">
        <f>F650</f>
        <v>61</v>
      </c>
      <c r="G649" s="1001">
        <f t="shared" ref="G649:Q649" si="64">G650</f>
        <v>12000</v>
      </c>
      <c r="H649" s="1001">
        <f t="shared" si="64"/>
        <v>61</v>
      </c>
      <c r="I649" s="1001">
        <f t="shared" si="64"/>
        <v>11500</v>
      </c>
      <c r="J649" s="1001">
        <f t="shared" si="64"/>
        <v>61</v>
      </c>
      <c r="K649" s="1001">
        <f t="shared" si="64"/>
        <v>13000</v>
      </c>
      <c r="L649" s="1001">
        <f t="shared" si="64"/>
        <v>61</v>
      </c>
      <c r="M649" s="1001">
        <f t="shared" si="64"/>
        <v>13500</v>
      </c>
      <c r="N649" s="1001">
        <f t="shared" si="64"/>
        <v>61</v>
      </c>
      <c r="O649" s="1001">
        <f t="shared" si="64"/>
        <v>14</v>
      </c>
      <c r="P649" s="1001">
        <f t="shared" si="64"/>
        <v>61</v>
      </c>
      <c r="Q649" s="1001">
        <f t="shared" si="64"/>
        <v>14000</v>
      </c>
      <c r="R649" s="1001">
        <f>F649+H649+J649+L649+N649</f>
        <v>305</v>
      </c>
      <c r="S649" s="1004"/>
      <c r="T649" s="1004"/>
    </row>
    <row r="650" spans="2:20" s="1003" customFormat="1" ht="76.5" x14ac:dyDescent="0.25">
      <c r="B650" s="998" t="s">
        <v>894</v>
      </c>
      <c r="C650" s="1009" t="s">
        <v>3481</v>
      </c>
      <c r="D650" s="1025" t="s">
        <v>100</v>
      </c>
      <c r="E650" s="1001"/>
      <c r="F650" s="1001">
        <v>61</v>
      </c>
      <c r="G650" s="1001">
        <v>12000</v>
      </c>
      <c r="H650" s="1001">
        <v>61</v>
      </c>
      <c r="I650" s="1001">
        <v>11500</v>
      </c>
      <c r="J650" s="1001">
        <v>61</v>
      </c>
      <c r="K650" s="1001">
        <v>13000</v>
      </c>
      <c r="L650" s="1001">
        <v>61</v>
      </c>
      <c r="M650" s="1001">
        <v>13500</v>
      </c>
      <c r="N650" s="1001">
        <v>61</v>
      </c>
      <c r="O650" s="1001">
        <v>14</v>
      </c>
      <c r="P650" s="1001">
        <v>61</v>
      </c>
      <c r="Q650" s="1001">
        <v>14000</v>
      </c>
      <c r="R650" s="1001"/>
      <c r="S650" s="1004"/>
      <c r="T650" s="1004"/>
    </row>
    <row r="651" spans="2:20" s="1003" customFormat="1" ht="60" x14ac:dyDescent="0.25">
      <c r="B651" s="1063" t="s">
        <v>3292</v>
      </c>
      <c r="C651" s="1000" t="s">
        <v>3291</v>
      </c>
      <c r="D651" s="1025" t="s">
        <v>19</v>
      </c>
      <c r="E651" s="1001">
        <v>75</v>
      </c>
      <c r="F651" s="1001">
        <v>77</v>
      </c>
      <c r="G651" s="1001">
        <f>G652</f>
        <v>0</v>
      </c>
      <c r="H651" s="1001"/>
      <c r="I651" s="1001">
        <f>I652</f>
        <v>2600</v>
      </c>
      <c r="J651" s="1001"/>
      <c r="K651" s="1001">
        <f>K652</f>
        <v>0</v>
      </c>
      <c r="L651" s="1001">
        <v>80</v>
      </c>
      <c r="M651" s="1001">
        <f>M652</f>
        <v>24700</v>
      </c>
      <c r="N651" s="1001"/>
      <c r="O651" s="1001">
        <f>O652</f>
        <v>0</v>
      </c>
      <c r="P651" s="1001"/>
      <c r="Q651" s="1001">
        <f>Q652</f>
        <v>0</v>
      </c>
      <c r="R651" s="1001">
        <f>L651</f>
        <v>80</v>
      </c>
      <c r="S651" s="1004"/>
      <c r="T651" s="1004"/>
    </row>
    <row r="652" spans="2:20" s="1003" customFormat="1" ht="38.25" x14ac:dyDescent="0.25">
      <c r="B652" s="1008" t="s">
        <v>3293</v>
      </c>
      <c r="C652" s="1000" t="s">
        <v>3294</v>
      </c>
      <c r="D652" s="1025" t="s">
        <v>103</v>
      </c>
      <c r="E652" s="1001"/>
      <c r="F652" s="1001"/>
      <c r="G652" s="1001"/>
      <c r="H652" s="1001">
        <v>2</v>
      </c>
      <c r="I652" s="1001">
        <v>2600</v>
      </c>
      <c r="J652" s="1001"/>
      <c r="K652" s="1001"/>
      <c r="L652" s="1001">
        <v>19</v>
      </c>
      <c r="M652" s="1001">
        <v>24700</v>
      </c>
      <c r="N652" s="1001"/>
      <c r="O652" s="1001"/>
      <c r="P652" s="1001"/>
      <c r="Q652" s="1001"/>
      <c r="R652" s="1001"/>
      <c r="S652" s="1004"/>
      <c r="T652" s="1004"/>
    </row>
    <row r="653" spans="2:20" s="1003" customFormat="1" ht="60" x14ac:dyDescent="0.25">
      <c r="B653" s="1063" t="s">
        <v>3296</v>
      </c>
      <c r="C653" s="1000" t="s">
        <v>3295</v>
      </c>
      <c r="D653" s="1025" t="s">
        <v>327</v>
      </c>
      <c r="E653" s="1001">
        <v>11</v>
      </c>
      <c r="F653" s="1001">
        <f>F654</f>
        <v>21</v>
      </c>
      <c r="G653" s="1001">
        <f t="shared" ref="G653:Q653" si="65">G654</f>
        <v>4200</v>
      </c>
      <c r="H653" s="1001">
        <f t="shared" si="65"/>
        <v>21</v>
      </c>
      <c r="I653" s="1001">
        <f t="shared" si="65"/>
        <v>5250</v>
      </c>
      <c r="J653" s="1001">
        <f t="shared" si="65"/>
        <v>21</v>
      </c>
      <c r="K653" s="1001">
        <f t="shared" si="65"/>
        <v>6000</v>
      </c>
      <c r="L653" s="1001">
        <f t="shared" si="65"/>
        <v>21</v>
      </c>
      <c r="M653" s="1001">
        <f t="shared" si="65"/>
        <v>6000</v>
      </c>
      <c r="N653" s="1001">
        <f t="shared" si="65"/>
        <v>21</v>
      </c>
      <c r="O653" s="1001">
        <f t="shared" si="65"/>
        <v>7000</v>
      </c>
      <c r="P653" s="1001">
        <f t="shared" si="65"/>
        <v>11</v>
      </c>
      <c r="Q653" s="1001">
        <f t="shared" si="65"/>
        <v>7500</v>
      </c>
      <c r="R653" s="1001">
        <f>N653</f>
        <v>21</v>
      </c>
      <c r="S653" s="1004"/>
      <c r="T653" s="1004"/>
    </row>
    <row r="654" spans="2:20" s="1003" customFormat="1" x14ac:dyDescent="0.25">
      <c r="B654" s="1008" t="s">
        <v>383</v>
      </c>
      <c r="C654" s="1000" t="s">
        <v>3297</v>
      </c>
      <c r="D654" s="1025"/>
      <c r="E654" s="1001"/>
      <c r="F654" s="1001">
        <v>21</v>
      </c>
      <c r="G654" s="1001">
        <v>4200</v>
      </c>
      <c r="H654" s="1001">
        <v>21</v>
      </c>
      <c r="I654" s="1001">
        <v>5250</v>
      </c>
      <c r="J654" s="1001">
        <v>21</v>
      </c>
      <c r="K654" s="1001">
        <v>6000</v>
      </c>
      <c r="L654" s="1001">
        <v>21</v>
      </c>
      <c r="M654" s="1001">
        <v>6000</v>
      </c>
      <c r="N654" s="1001">
        <v>21</v>
      </c>
      <c r="O654" s="1001">
        <v>7000</v>
      </c>
      <c r="P654" s="1001">
        <v>11</v>
      </c>
      <c r="Q654" s="1001">
        <v>7500</v>
      </c>
      <c r="R654" s="1001"/>
      <c r="S654" s="1004"/>
      <c r="T654" s="1004"/>
    </row>
    <row r="655" spans="2:20" s="1032" customFormat="1" x14ac:dyDescent="0.25">
      <c r="B655" s="1027" t="s">
        <v>2651</v>
      </c>
      <c r="C655" s="1033"/>
      <c r="D655" s="1034"/>
      <c r="E655" s="1033"/>
      <c r="F655" s="1033"/>
      <c r="G655" s="1035">
        <f>G653+G651+G649+G647+G644+G642+G639+G637+G633+G631+G629+G620+G606</f>
        <v>275582</v>
      </c>
      <c r="H655" s="1033"/>
      <c r="I655" s="1035">
        <f>I653+I651+I649+I647+I644+I642+I639+I637+I633+I631+I629+I620+I606</f>
        <v>303082</v>
      </c>
      <c r="J655" s="1033"/>
      <c r="K655" s="1035">
        <f>K653+K651+K649+K647+K644+K642+K639+K637+K633+K631+K629+K620+K606</f>
        <v>343650</v>
      </c>
      <c r="L655" s="1033"/>
      <c r="M655" s="1035">
        <f>M653+M651+M649+M647+M644+M642+M639+M637+M633+M631+M629+M620+M606</f>
        <v>345915</v>
      </c>
      <c r="N655" s="1033"/>
      <c r="O655" s="1035">
        <f>O653+O651+O649+O647+O644+O642+O639+O637+O633+O631+O629+O620+O606</f>
        <v>333914</v>
      </c>
      <c r="P655" s="1033"/>
      <c r="Q655" s="1035">
        <f>Q653+Q651+Q649+Q647+Q644+Q642+Q639+Q637+Q633+Q631+Q629+Q620+Q606</f>
        <v>363150</v>
      </c>
      <c r="R655" s="1033"/>
      <c r="S655" s="1036"/>
      <c r="T655" s="1036"/>
    </row>
    <row r="656" spans="2:20" s="1003" customFormat="1" x14ac:dyDescent="0.25">
      <c r="B656" s="1005"/>
      <c r="C656" s="1100"/>
      <c r="D656" s="1000"/>
      <c r="E656" s="1001"/>
      <c r="F656" s="1001"/>
      <c r="G656" s="1001"/>
      <c r="H656" s="1001"/>
      <c r="I656" s="1001"/>
      <c r="J656" s="1001"/>
      <c r="K656" s="1001"/>
      <c r="L656" s="1001"/>
      <c r="M656" s="1001"/>
      <c r="N656" s="1001"/>
      <c r="O656" s="1001"/>
      <c r="P656" s="1001"/>
      <c r="Q656" s="1001"/>
      <c r="R656" s="1001"/>
      <c r="S656" s="1004"/>
      <c r="T656" s="1004"/>
    </row>
    <row r="657" spans="2:20" s="1003" customFormat="1" x14ac:dyDescent="0.25">
      <c r="B657" s="1167" t="s">
        <v>3482</v>
      </c>
      <c r="C657" s="1100"/>
      <c r="D657" s="1000"/>
      <c r="E657" s="1001"/>
      <c r="F657" s="1001"/>
      <c r="G657" s="1001"/>
      <c r="H657" s="1001"/>
      <c r="I657" s="1001"/>
      <c r="J657" s="1001"/>
      <c r="K657" s="1001"/>
      <c r="L657" s="1001"/>
      <c r="M657" s="1001"/>
      <c r="N657" s="1001"/>
      <c r="O657" s="1001"/>
      <c r="P657" s="1001"/>
      <c r="Q657" s="1001"/>
      <c r="R657" s="1001"/>
      <c r="S657" s="1004"/>
      <c r="T657" s="1004"/>
    </row>
    <row r="658" spans="2:20" s="1003" customFormat="1" ht="51" customHeight="1" x14ac:dyDescent="0.25">
      <c r="B658" s="998"/>
      <c r="C658" s="999" t="s">
        <v>3228</v>
      </c>
      <c r="D658" s="1025" t="s">
        <v>19</v>
      </c>
      <c r="E658" s="1001">
        <v>90</v>
      </c>
      <c r="F658" s="1001">
        <v>93</v>
      </c>
      <c r="G658" s="1001"/>
      <c r="H658" s="1001">
        <v>94</v>
      </c>
      <c r="I658" s="1001"/>
      <c r="J658" s="1001">
        <v>95</v>
      </c>
      <c r="K658" s="1001"/>
      <c r="L658" s="1001">
        <v>96</v>
      </c>
      <c r="M658" s="1001"/>
      <c r="N658" s="1001">
        <v>97</v>
      </c>
      <c r="O658" s="1001"/>
      <c r="P658" s="1001">
        <v>98</v>
      </c>
      <c r="Q658" s="1001"/>
      <c r="R658" s="1001">
        <v>97</v>
      </c>
      <c r="S658" s="1002"/>
      <c r="T658" s="1002"/>
    </row>
    <row r="659" spans="2:20" s="1003" customFormat="1" ht="63.75" x14ac:dyDescent="0.25">
      <c r="B659" s="1106" t="s">
        <v>3229</v>
      </c>
      <c r="C659" s="1000" t="s">
        <v>1488</v>
      </c>
      <c r="D659" s="1025" t="s">
        <v>19</v>
      </c>
      <c r="E659" s="1001">
        <v>100</v>
      </c>
      <c r="F659" s="1001">
        <v>20</v>
      </c>
      <c r="G659" s="1001">
        <f>SUM(G660:G672)</f>
        <v>95027</v>
      </c>
      <c r="H659" s="1001">
        <v>20</v>
      </c>
      <c r="I659" s="1001">
        <f>SUM(I660:I672)</f>
        <v>100000</v>
      </c>
      <c r="J659" s="1001">
        <v>20</v>
      </c>
      <c r="K659" s="1001">
        <f>SUM(K660:K672)</f>
        <v>105800</v>
      </c>
      <c r="L659" s="1001">
        <v>20</v>
      </c>
      <c r="M659" s="1001">
        <f>SUM(M660:M672)</f>
        <v>117000</v>
      </c>
      <c r="N659" s="1001">
        <v>20</v>
      </c>
      <c r="O659" s="1001">
        <f>SUM(O660:O672)</f>
        <v>124000</v>
      </c>
      <c r="P659" s="1001">
        <v>20</v>
      </c>
      <c r="Q659" s="1001">
        <f>SUM(Q660:Q672)</f>
        <v>133900</v>
      </c>
      <c r="R659" s="1001">
        <v>100</v>
      </c>
      <c r="S659" s="1004"/>
      <c r="T659" s="1004"/>
    </row>
    <row r="660" spans="2:20" s="1003" customFormat="1" ht="25.5" x14ac:dyDescent="0.25">
      <c r="B660" s="998" t="s">
        <v>124</v>
      </c>
      <c r="C660" s="1100" t="s">
        <v>3230</v>
      </c>
      <c r="D660" s="1025" t="s">
        <v>40</v>
      </c>
      <c r="E660" s="1001"/>
      <c r="F660" s="1001">
        <v>12</v>
      </c>
      <c r="G660" s="1001">
        <v>1526</v>
      </c>
      <c r="H660" s="1001">
        <v>12</v>
      </c>
      <c r="I660" s="1001">
        <v>2000</v>
      </c>
      <c r="J660" s="1001">
        <v>12</v>
      </c>
      <c r="K660" s="1001">
        <v>2000</v>
      </c>
      <c r="L660" s="1001">
        <v>12</v>
      </c>
      <c r="M660" s="1001">
        <v>3000</v>
      </c>
      <c r="N660" s="1001">
        <v>12</v>
      </c>
      <c r="O660" s="1001">
        <v>4000</v>
      </c>
      <c r="P660" s="1001">
        <v>12</v>
      </c>
      <c r="Q660" s="1001">
        <v>4400</v>
      </c>
      <c r="R660" s="1001"/>
      <c r="S660" s="1004"/>
      <c r="T660" s="1004"/>
    </row>
    <row r="661" spans="2:20" s="1003" customFormat="1" ht="51" x14ac:dyDescent="0.25">
      <c r="B661" s="1005" t="s">
        <v>126</v>
      </c>
      <c r="C661" s="1100" t="s">
        <v>2518</v>
      </c>
      <c r="D661" s="1025" t="s">
        <v>40</v>
      </c>
      <c r="E661" s="1001"/>
      <c r="F661" s="1001">
        <v>12</v>
      </c>
      <c r="G661" s="1001">
        <v>14700</v>
      </c>
      <c r="H661" s="1001">
        <v>12</v>
      </c>
      <c r="I661" s="1001">
        <v>14700</v>
      </c>
      <c r="J661" s="1001">
        <v>12</v>
      </c>
      <c r="K661" s="1001">
        <v>17000</v>
      </c>
      <c r="L661" s="1001">
        <v>12</v>
      </c>
      <c r="M661" s="1001">
        <v>17000</v>
      </c>
      <c r="N661" s="1001">
        <v>12</v>
      </c>
      <c r="O661" s="1001">
        <v>18000</v>
      </c>
      <c r="P661" s="1001">
        <v>12</v>
      </c>
      <c r="Q661" s="1001">
        <v>18000</v>
      </c>
      <c r="R661" s="1001"/>
      <c r="S661" s="1004"/>
      <c r="T661" s="1004"/>
    </row>
    <row r="662" spans="2:20" s="1003" customFormat="1" ht="76.5" x14ac:dyDescent="0.25">
      <c r="B662" s="1005" t="s">
        <v>3231</v>
      </c>
      <c r="C662" s="1100" t="s">
        <v>2519</v>
      </c>
      <c r="D662" s="1025" t="s">
        <v>40</v>
      </c>
      <c r="E662" s="1001"/>
      <c r="F662" s="1001">
        <v>12</v>
      </c>
      <c r="G662" s="1001">
        <v>22490</v>
      </c>
      <c r="H662" s="1001">
        <v>12</v>
      </c>
      <c r="I662" s="1001">
        <v>25500</v>
      </c>
      <c r="J662" s="1001">
        <v>12</v>
      </c>
      <c r="K662" s="1001">
        <v>25500</v>
      </c>
      <c r="L662" s="1001">
        <v>12</v>
      </c>
      <c r="M662" s="1001">
        <v>27000</v>
      </c>
      <c r="N662" s="1001">
        <v>12</v>
      </c>
      <c r="O662" s="1001">
        <v>27000</v>
      </c>
      <c r="P662" s="1001">
        <v>12</v>
      </c>
      <c r="Q662" s="1001">
        <v>27000</v>
      </c>
      <c r="R662" s="1001"/>
      <c r="S662" s="1004"/>
      <c r="T662" s="1004"/>
    </row>
    <row r="663" spans="2:20" s="1003" customFormat="1" ht="38.25" x14ac:dyDescent="0.25">
      <c r="B663" s="1005" t="s">
        <v>45</v>
      </c>
      <c r="C663" s="1100" t="s">
        <v>2520</v>
      </c>
      <c r="D663" s="1025" t="s">
        <v>40</v>
      </c>
      <c r="E663" s="1001"/>
      <c r="F663" s="1001">
        <v>12</v>
      </c>
      <c r="G663" s="1001">
        <v>14500</v>
      </c>
      <c r="H663" s="1001">
        <v>12</v>
      </c>
      <c r="I663" s="1001">
        <v>14500</v>
      </c>
      <c r="J663" s="1001">
        <v>12</v>
      </c>
      <c r="K663" s="1001">
        <v>16000</v>
      </c>
      <c r="L663" s="1001">
        <v>12</v>
      </c>
      <c r="M663" s="1001">
        <v>18000</v>
      </c>
      <c r="N663" s="1001">
        <v>12</v>
      </c>
      <c r="O663" s="1001">
        <v>18000</v>
      </c>
      <c r="P663" s="1001">
        <v>12</v>
      </c>
      <c r="Q663" s="1001">
        <v>20000</v>
      </c>
      <c r="R663" s="1001"/>
      <c r="S663" s="1004"/>
      <c r="T663" s="1004"/>
    </row>
    <row r="664" spans="2:20" s="1003" customFormat="1" ht="38.25" x14ac:dyDescent="0.25">
      <c r="B664" s="1005" t="s">
        <v>47</v>
      </c>
      <c r="C664" s="1100" t="s">
        <v>2521</v>
      </c>
      <c r="D664" s="1025" t="s">
        <v>40</v>
      </c>
      <c r="E664" s="1001"/>
      <c r="F664" s="1001">
        <v>12</v>
      </c>
      <c r="G664" s="1001">
        <v>3000</v>
      </c>
      <c r="H664" s="1001">
        <v>12</v>
      </c>
      <c r="I664" s="1001">
        <v>3000</v>
      </c>
      <c r="J664" s="1001">
        <v>12</v>
      </c>
      <c r="K664" s="1001">
        <v>3000</v>
      </c>
      <c r="L664" s="1001">
        <v>12</v>
      </c>
      <c r="M664" s="1001">
        <v>3500</v>
      </c>
      <c r="N664" s="1001">
        <v>12</v>
      </c>
      <c r="O664" s="1001">
        <v>4000</v>
      </c>
      <c r="P664" s="1001">
        <v>12</v>
      </c>
      <c r="Q664" s="1001">
        <v>4500</v>
      </c>
      <c r="R664" s="1001"/>
      <c r="S664" s="1004"/>
      <c r="T664" s="1004"/>
    </row>
    <row r="665" spans="2:20" s="1003" customFormat="1" ht="51" x14ac:dyDescent="0.25">
      <c r="B665" s="1005" t="s">
        <v>923</v>
      </c>
      <c r="C665" s="1100" t="s">
        <v>2522</v>
      </c>
      <c r="D665" s="1025" t="s">
        <v>40</v>
      </c>
      <c r="E665" s="1001"/>
      <c r="F665" s="1001">
        <v>12</v>
      </c>
      <c r="G665" s="1001">
        <v>4000</v>
      </c>
      <c r="H665" s="1001">
        <v>12</v>
      </c>
      <c r="I665" s="1001">
        <v>4000</v>
      </c>
      <c r="J665" s="1001">
        <v>12</v>
      </c>
      <c r="K665" s="1001">
        <v>4000</v>
      </c>
      <c r="L665" s="1001">
        <v>12</v>
      </c>
      <c r="M665" s="1001">
        <v>4500</v>
      </c>
      <c r="N665" s="1001">
        <v>12</v>
      </c>
      <c r="O665" s="1001">
        <v>5000</v>
      </c>
      <c r="P665" s="1001">
        <v>12</v>
      </c>
      <c r="Q665" s="1001">
        <v>6000</v>
      </c>
      <c r="R665" s="1001"/>
      <c r="S665" s="1004"/>
      <c r="T665" s="1004"/>
    </row>
    <row r="666" spans="2:20" s="1003" customFormat="1" ht="38.25" x14ac:dyDescent="0.25">
      <c r="B666" s="1005" t="s">
        <v>50</v>
      </c>
      <c r="C666" s="1100" t="s">
        <v>2523</v>
      </c>
      <c r="D666" s="1025" t="s">
        <v>40</v>
      </c>
      <c r="E666" s="1001"/>
      <c r="F666" s="1001">
        <v>12</v>
      </c>
      <c r="G666" s="1001">
        <v>3527</v>
      </c>
      <c r="H666" s="1001">
        <v>12</v>
      </c>
      <c r="I666" s="1001">
        <v>4000</v>
      </c>
      <c r="J666" s="1001">
        <v>12</v>
      </c>
      <c r="K666" s="1001">
        <v>4000</v>
      </c>
      <c r="L666" s="1001">
        <v>12</v>
      </c>
      <c r="M666" s="1001">
        <v>4500</v>
      </c>
      <c r="N666" s="1001">
        <v>12</v>
      </c>
      <c r="O666" s="1001">
        <v>5000</v>
      </c>
      <c r="P666" s="1001">
        <v>12</v>
      </c>
      <c r="Q666" s="1001">
        <v>7000</v>
      </c>
      <c r="R666" s="1001"/>
      <c r="S666" s="1004"/>
      <c r="T666" s="1004"/>
    </row>
    <row r="667" spans="2:20" s="1003" customFormat="1" ht="51" x14ac:dyDescent="0.25">
      <c r="B667" s="1005" t="s">
        <v>52</v>
      </c>
      <c r="C667" s="1100" t="s">
        <v>2524</v>
      </c>
      <c r="D667" s="1025" t="s">
        <v>40</v>
      </c>
      <c r="E667" s="1001"/>
      <c r="F667" s="1001">
        <v>12</v>
      </c>
      <c r="G667" s="1001">
        <v>2000</v>
      </c>
      <c r="H667" s="1001">
        <v>12</v>
      </c>
      <c r="I667" s="1001">
        <v>2000</v>
      </c>
      <c r="J667" s="1001">
        <v>12</v>
      </c>
      <c r="K667" s="1001">
        <v>2000</v>
      </c>
      <c r="L667" s="1001">
        <v>12</v>
      </c>
      <c r="M667" s="1001">
        <v>2500</v>
      </c>
      <c r="N667" s="1001">
        <v>12</v>
      </c>
      <c r="O667" s="1001">
        <v>3000</v>
      </c>
      <c r="P667" s="1001">
        <v>12</v>
      </c>
      <c r="Q667" s="1001">
        <v>5000</v>
      </c>
      <c r="R667" s="1001"/>
      <c r="S667" s="1004"/>
      <c r="T667" s="1004"/>
    </row>
    <row r="668" spans="2:20" s="1003" customFormat="1" ht="76.5" x14ac:dyDescent="0.25">
      <c r="B668" s="1005" t="s">
        <v>782</v>
      </c>
      <c r="C668" s="1100" t="s">
        <v>2525</v>
      </c>
      <c r="D668" s="1025" t="s">
        <v>40</v>
      </c>
      <c r="E668" s="1001"/>
      <c r="F668" s="1001">
        <v>12</v>
      </c>
      <c r="G668" s="1001">
        <v>1650</v>
      </c>
      <c r="H668" s="1001">
        <v>12</v>
      </c>
      <c r="I668" s="1001">
        <v>2000</v>
      </c>
      <c r="J668" s="1001">
        <v>12</v>
      </c>
      <c r="K668" s="1001">
        <v>2000</v>
      </c>
      <c r="L668" s="1001">
        <v>12</v>
      </c>
      <c r="M668" s="1001">
        <v>2500</v>
      </c>
      <c r="N668" s="1001">
        <v>12</v>
      </c>
      <c r="O668" s="1001">
        <v>3000</v>
      </c>
      <c r="P668" s="1001">
        <v>12</v>
      </c>
      <c r="Q668" s="1001">
        <v>4000</v>
      </c>
      <c r="R668" s="1001"/>
      <c r="S668" s="1004"/>
      <c r="T668" s="1004"/>
    </row>
    <row r="669" spans="2:20" s="1003" customFormat="1" ht="63.75" x14ac:dyDescent="0.25">
      <c r="B669" s="1005" t="s">
        <v>3232</v>
      </c>
      <c r="C669" s="1100" t="s">
        <v>2526</v>
      </c>
      <c r="D669" s="1025" t="s">
        <v>40</v>
      </c>
      <c r="E669" s="1001"/>
      <c r="F669" s="1001">
        <v>12</v>
      </c>
      <c r="G669" s="1001">
        <v>1200</v>
      </c>
      <c r="H669" s="1001">
        <v>12</v>
      </c>
      <c r="I669" s="1001">
        <v>1200</v>
      </c>
      <c r="J669" s="1001">
        <v>12</v>
      </c>
      <c r="K669" s="1001">
        <v>1200</v>
      </c>
      <c r="L669" s="1001">
        <v>12</v>
      </c>
      <c r="M669" s="1001">
        <v>2000</v>
      </c>
      <c r="N669" s="1001">
        <v>12</v>
      </c>
      <c r="O669" s="1001">
        <v>3000</v>
      </c>
      <c r="P669" s="1001">
        <v>12</v>
      </c>
      <c r="Q669" s="1001">
        <v>3000</v>
      </c>
      <c r="R669" s="1001"/>
      <c r="S669" s="1004"/>
      <c r="T669" s="1004"/>
    </row>
    <row r="670" spans="2:20" s="1003" customFormat="1" ht="38.25" x14ac:dyDescent="0.25">
      <c r="B670" s="1005" t="s">
        <v>58</v>
      </c>
      <c r="C670" s="1100" t="s">
        <v>2527</v>
      </c>
      <c r="D670" s="1025" t="s">
        <v>40</v>
      </c>
      <c r="E670" s="1001"/>
      <c r="F670" s="1001">
        <v>12</v>
      </c>
      <c r="G670" s="1001">
        <v>9500</v>
      </c>
      <c r="H670" s="1001">
        <v>12</v>
      </c>
      <c r="I670" s="1001">
        <v>9500</v>
      </c>
      <c r="J670" s="1001">
        <v>12</v>
      </c>
      <c r="K670" s="1001">
        <v>9500</v>
      </c>
      <c r="L670" s="1001">
        <v>12</v>
      </c>
      <c r="M670" s="1001">
        <v>12000</v>
      </c>
      <c r="N670" s="1001">
        <v>12</v>
      </c>
      <c r="O670" s="1001">
        <v>13000</v>
      </c>
      <c r="P670" s="1001">
        <v>12</v>
      </c>
      <c r="Q670" s="1001">
        <v>14000</v>
      </c>
      <c r="R670" s="1001"/>
      <c r="S670" s="1004"/>
      <c r="T670" s="1004"/>
    </row>
    <row r="671" spans="2:20" s="1003" customFormat="1" ht="51" x14ac:dyDescent="0.25">
      <c r="B671" s="1005" t="s">
        <v>3233</v>
      </c>
      <c r="C671" s="1100" t="s">
        <v>2529</v>
      </c>
      <c r="D671" s="1025" t="s">
        <v>40</v>
      </c>
      <c r="E671" s="1001"/>
      <c r="F671" s="1001">
        <v>12</v>
      </c>
      <c r="G671" s="1001">
        <v>16934</v>
      </c>
      <c r="H671" s="1001">
        <v>12</v>
      </c>
      <c r="I671" s="1001">
        <v>17600</v>
      </c>
      <c r="J671" s="1001">
        <v>12</v>
      </c>
      <c r="K671" s="1001">
        <v>17600</v>
      </c>
      <c r="L671" s="1001">
        <v>12</v>
      </c>
      <c r="M671" s="1001">
        <v>18000</v>
      </c>
      <c r="N671" s="1001">
        <v>12</v>
      </c>
      <c r="O671" s="1001">
        <v>18000</v>
      </c>
      <c r="P671" s="1001">
        <v>12</v>
      </c>
      <c r="Q671" s="1001">
        <v>18000</v>
      </c>
      <c r="R671" s="1001"/>
      <c r="S671" s="1004"/>
      <c r="T671" s="1004"/>
    </row>
    <row r="672" spans="2:20" s="1003" customFormat="1" ht="51" x14ac:dyDescent="0.25">
      <c r="B672" s="1102" t="s">
        <v>137</v>
      </c>
      <c r="C672" s="1100" t="s">
        <v>2528</v>
      </c>
      <c r="D672" s="1025" t="s">
        <v>40</v>
      </c>
      <c r="E672" s="1001"/>
      <c r="F672" s="1001">
        <v>12</v>
      </c>
      <c r="G672" s="1001"/>
      <c r="H672" s="1001">
        <v>12</v>
      </c>
      <c r="I672" s="1001">
        <v>0</v>
      </c>
      <c r="J672" s="1001">
        <v>12</v>
      </c>
      <c r="K672" s="1001">
        <v>2000</v>
      </c>
      <c r="L672" s="1001">
        <v>12</v>
      </c>
      <c r="M672" s="1001">
        <v>2500</v>
      </c>
      <c r="N672" s="1001">
        <v>12</v>
      </c>
      <c r="O672" s="1001">
        <v>3000</v>
      </c>
      <c r="P672" s="1001">
        <v>12</v>
      </c>
      <c r="Q672" s="1001">
        <v>3000</v>
      </c>
      <c r="R672" s="1001"/>
      <c r="S672" s="1004"/>
      <c r="T672" s="1004"/>
    </row>
    <row r="673" spans="2:20" s="1003" customFormat="1" ht="38.25" customHeight="1" x14ac:dyDescent="0.25">
      <c r="B673" s="1061" t="s">
        <v>65</v>
      </c>
      <c r="C673" s="999" t="s">
        <v>3234</v>
      </c>
      <c r="D673" s="1015" t="s">
        <v>19</v>
      </c>
      <c r="E673" s="1001">
        <v>70</v>
      </c>
      <c r="F673" s="1001">
        <v>3</v>
      </c>
      <c r="G673" s="2114">
        <f>SUM(G675:G679)</f>
        <v>37235</v>
      </c>
      <c r="H673" s="1001">
        <v>2</v>
      </c>
      <c r="I673" s="2114">
        <f>SUM(I675:I679)</f>
        <v>29800</v>
      </c>
      <c r="J673" s="1001">
        <v>3</v>
      </c>
      <c r="K673" s="2114">
        <f>SUM(K675:K679)</f>
        <v>30400</v>
      </c>
      <c r="L673" s="1001">
        <v>2</v>
      </c>
      <c r="M673" s="2114">
        <f>SUM(M675:M679)</f>
        <v>38000</v>
      </c>
      <c r="N673" s="1001">
        <v>3</v>
      </c>
      <c r="O673" s="2114">
        <f>SUM(O675:O679)</f>
        <v>38000</v>
      </c>
      <c r="P673" s="1001">
        <v>2</v>
      </c>
      <c r="Q673" s="2114">
        <f>SUM(Q675:Q679)</f>
        <v>49000</v>
      </c>
      <c r="R673" s="1001">
        <f>E673+F673+H673+J673+L673+N673</f>
        <v>83</v>
      </c>
      <c r="S673" s="1004"/>
      <c r="T673" s="1004"/>
    </row>
    <row r="674" spans="2:20" s="1003" customFormat="1" ht="38.25" x14ac:dyDescent="0.25">
      <c r="B674" s="1067"/>
      <c r="C674" s="999" t="s">
        <v>3235</v>
      </c>
      <c r="D674" s="1015" t="s">
        <v>19</v>
      </c>
      <c r="E674" s="1001">
        <v>100</v>
      </c>
      <c r="F674" s="1001">
        <v>100</v>
      </c>
      <c r="G674" s="2114"/>
      <c r="H674" s="1001">
        <v>100</v>
      </c>
      <c r="I674" s="2114"/>
      <c r="J674" s="1001">
        <v>100</v>
      </c>
      <c r="K674" s="2114"/>
      <c r="L674" s="1001">
        <v>100</v>
      </c>
      <c r="M674" s="2114"/>
      <c r="N674" s="1001">
        <v>100</v>
      </c>
      <c r="O674" s="2114"/>
      <c r="P674" s="1001">
        <v>100</v>
      </c>
      <c r="Q674" s="2114"/>
      <c r="R674" s="1001">
        <v>100</v>
      </c>
      <c r="S674" s="1004"/>
      <c r="T674" s="1004"/>
    </row>
    <row r="675" spans="2:20" s="1003" customFormat="1" ht="38.25" x14ac:dyDescent="0.25">
      <c r="B675" s="1007" t="s">
        <v>149</v>
      </c>
      <c r="C675" s="999" t="s">
        <v>3483</v>
      </c>
      <c r="D675" s="1015" t="s">
        <v>75</v>
      </c>
      <c r="E675" s="1001"/>
      <c r="F675" s="1001">
        <v>2</v>
      </c>
      <c r="G675" s="1001">
        <v>9000</v>
      </c>
      <c r="H675" s="1001">
        <v>7</v>
      </c>
      <c r="I675" s="1001">
        <v>9000</v>
      </c>
      <c r="J675" s="1001">
        <v>2</v>
      </c>
      <c r="K675" s="1001">
        <v>9000</v>
      </c>
      <c r="L675" s="1001">
        <v>2</v>
      </c>
      <c r="M675" s="1001">
        <v>11000</v>
      </c>
      <c r="N675" s="1001">
        <v>2</v>
      </c>
      <c r="O675" s="1001">
        <v>11000</v>
      </c>
      <c r="P675" s="1001">
        <v>2</v>
      </c>
      <c r="Q675" s="1001">
        <v>13000</v>
      </c>
      <c r="R675" s="1001"/>
      <c r="S675" s="1004"/>
      <c r="T675" s="1004"/>
    </row>
    <row r="676" spans="2:20" s="1003" customFormat="1" ht="38.25" x14ac:dyDescent="0.25">
      <c r="B676" s="998" t="s">
        <v>3238</v>
      </c>
      <c r="C676" s="1000" t="s">
        <v>3484</v>
      </c>
      <c r="D676" s="1025" t="s">
        <v>75</v>
      </c>
      <c r="E676" s="1001"/>
      <c r="F676" s="1001">
        <v>13</v>
      </c>
      <c r="G676" s="1001">
        <v>20835</v>
      </c>
      <c r="H676" s="1001">
        <v>3</v>
      </c>
      <c r="I676" s="1001">
        <v>11400</v>
      </c>
      <c r="J676" s="1001">
        <v>1</v>
      </c>
      <c r="K676" s="1001">
        <v>11400</v>
      </c>
      <c r="L676" s="1001">
        <v>0</v>
      </c>
      <c r="M676" s="1001">
        <v>12000</v>
      </c>
      <c r="N676" s="1001">
        <v>0</v>
      </c>
      <c r="O676" s="1001">
        <v>12000</v>
      </c>
      <c r="P676" s="1001">
        <v>0</v>
      </c>
      <c r="Q676" s="1001">
        <v>15000</v>
      </c>
      <c r="R676" s="1001"/>
      <c r="S676" s="1004"/>
      <c r="T676" s="1004"/>
    </row>
    <row r="677" spans="2:20" s="1003" customFormat="1" ht="38.25" x14ac:dyDescent="0.25">
      <c r="B677" s="1007" t="s">
        <v>3240</v>
      </c>
      <c r="C677" s="999" t="s">
        <v>3241</v>
      </c>
      <c r="D677" s="1015" t="s">
        <v>40</v>
      </c>
      <c r="E677" s="1001"/>
      <c r="F677" s="1001">
        <v>12</v>
      </c>
      <c r="G677" s="1001">
        <v>4400</v>
      </c>
      <c r="H677" s="1001">
        <v>12</v>
      </c>
      <c r="I677" s="1001">
        <v>4400</v>
      </c>
      <c r="J677" s="1001">
        <v>12</v>
      </c>
      <c r="K677" s="1001">
        <v>5000</v>
      </c>
      <c r="L677" s="1001">
        <v>12</v>
      </c>
      <c r="M677" s="1001">
        <v>5000</v>
      </c>
      <c r="N677" s="1001">
        <v>12</v>
      </c>
      <c r="O677" s="1001">
        <v>5000</v>
      </c>
      <c r="P677" s="1001">
        <v>12</v>
      </c>
      <c r="Q677" s="1001">
        <v>7000</v>
      </c>
      <c r="R677" s="1001"/>
      <c r="S677" s="1004"/>
      <c r="T677" s="1004"/>
    </row>
    <row r="678" spans="2:20" s="1003" customFormat="1" ht="38.25" x14ac:dyDescent="0.25">
      <c r="B678" s="1007" t="s">
        <v>3242</v>
      </c>
      <c r="C678" s="999" t="s">
        <v>3160</v>
      </c>
      <c r="D678" s="1015" t="s">
        <v>40</v>
      </c>
      <c r="E678" s="1001"/>
      <c r="F678" s="1001">
        <v>12</v>
      </c>
      <c r="G678" s="1001">
        <v>3000</v>
      </c>
      <c r="H678" s="1001">
        <v>12</v>
      </c>
      <c r="I678" s="1001">
        <v>3000</v>
      </c>
      <c r="J678" s="1001">
        <v>12</v>
      </c>
      <c r="K678" s="1001">
        <v>3000</v>
      </c>
      <c r="L678" s="1001">
        <v>12</v>
      </c>
      <c r="M678" s="1001">
        <v>5000</v>
      </c>
      <c r="N678" s="1001">
        <v>12</v>
      </c>
      <c r="O678" s="1001">
        <v>5000</v>
      </c>
      <c r="P678" s="1001">
        <v>12</v>
      </c>
      <c r="Q678" s="1001">
        <v>7000</v>
      </c>
      <c r="R678" s="1001"/>
      <c r="S678" s="1004"/>
      <c r="T678" s="1004"/>
    </row>
    <row r="679" spans="2:20" s="1003" customFormat="1" ht="38.25" x14ac:dyDescent="0.25">
      <c r="B679" s="1007" t="s">
        <v>3243</v>
      </c>
      <c r="C679" s="999" t="s">
        <v>3244</v>
      </c>
      <c r="D679" s="1015" t="s">
        <v>40</v>
      </c>
      <c r="E679" s="1001"/>
      <c r="F679" s="1001">
        <v>0</v>
      </c>
      <c r="G679" s="1001">
        <v>0</v>
      </c>
      <c r="H679" s="1001">
        <v>12</v>
      </c>
      <c r="I679" s="1001">
        <v>2000</v>
      </c>
      <c r="J679" s="1001">
        <v>12</v>
      </c>
      <c r="K679" s="1001">
        <v>2000</v>
      </c>
      <c r="L679" s="1001">
        <v>12</v>
      </c>
      <c r="M679" s="1001">
        <v>5000</v>
      </c>
      <c r="N679" s="1001">
        <v>12</v>
      </c>
      <c r="O679" s="1001">
        <v>5000</v>
      </c>
      <c r="P679" s="1001">
        <v>12</v>
      </c>
      <c r="Q679" s="1001">
        <v>7000</v>
      </c>
      <c r="R679" s="1001"/>
      <c r="S679" s="1004"/>
      <c r="T679" s="1004"/>
    </row>
    <row r="680" spans="2:20" s="1003" customFormat="1" ht="63.75" x14ac:dyDescent="0.25">
      <c r="B680" s="1106" t="s">
        <v>3245</v>
      </c>
      <c r="C680" s="1000" t="s">
        <v>3246</v>
      </c>
      <c r="D680" s="1025" t="s">
        <v>79</v>
      </c>
      <c r="E680" s="1001">
        <v>10</v>
      </c>
      <c r="F680" s="1001">
        <f>F681</f>
        <v>2</v>
      </c>
      <c r="G680" s="1001">
        <f>G681</f>
        <v>3000</v>
      </c>
      <c r="H680" s="1001">
        <f t="shared" ref="H680:Q680" si="66">H681</f>
        <v>2</v>
      </c>
      <c r="I680" s="1001">
        <f t="shared" si="66"/>
        <v>5000</v>
      </c>
      <c r="J680" s="1001">
        <f t="shared" si="66"/>
        <v>2</v>
      </c>
      <c r="K680" s="1001">
        <f t="shared" si="66"/>
        <v>5000</v>
      </c>
      <c r="L680" s="1001">
        <f t="shared" si="66"/>
        <v>2</v>
      </c>
      <c r="M680" s="1001">
        <f t="shared" si="66"/>
        <v>5000</v>
      </c>
      <c r="N680" s="1001">
        <f t="shared" si="66"/>
        <v>2</v>
      </c>
      <c r="O680" s="1001">
        <f t="shared" si="66"/>
        <v>6000</v>
      </c>
      <c r="P680" s="1001">
        <f t="shared" si="66"/>
        <v>2</v>
      </c>
      <c r="Q680" s="1001">
        <f t="shared" si="66"/>
        <v>7500</v>
      </c>
      <c r="R680" s="1001">
        <f>E680+F680+H680+J680+L680+N680</f>
        <v>20</v>
      </c>
      <c r="S680" s="1004"/>
      <c r="T680" s="1004"/>
    </row>
    <row r="681" spans="2:20" s="1003" customFormat="1" ht="102" x14ac:dyDescent="0.25">
      <c r="B681" s="998" t="s">
        <v>80</v>
      </c>
      <c r="C681" s="1000" t="s">
        <v>3247</v>
      </c>
      <c r="D681" s="1025" t="s">
        <v>79</v>
      </c>
      <c r="E681" s="1001"/>
      <c r="F681" s="1001">
        <v>2</v>
      </c>
      <c r="G681" s="1001">
        <v>3000</v>
      </c>
      <c r="H681" s="1001">
        <v>2</v>
      </c>
      <c r="I681" s="1001">
        <v>5000</v>
      </c>
      <c r="J681" s="1001">
        <v>2</v>
      </c>
      <c r="K681" s="1001">
        <v>5000</v>
      </c>
      <c r="L681" s="1001">
        <v>2</v>
      </c>
      <c r="M681" s="1001">
        <v>5000</v>
      </c>
      <c r="N681" s="1001">
        <v>2</v>
      </c>
      <c r="O681" s="1001">
        <v>6000</v>
      </c>
      <c r="P681" s="1001">
        <v>2</v>
      </c>
      <c r="Q681" s="1001">
        <v>7500</v>
      </c>
      <c r="R681" s="1001"/>
      <c r="S681" s="1004"/>
      <c r="T681" s="1004"/>
    </row>
    <row r="682" spans="2:20" s="1003" customFormat="1" ht="48" x14ac:dyDescent="0.25">
      <c r="B682" s="1106" t="s">
        <v>3248</v>
      </c>
      <c r="C682" s="1000" t="s">
        <v>3249</v>
      </c>
      <c r="D682" s="1025" t="s">
        <v>79</v>
      </c>
      <c r="E682" s="1001">
        <v>5</v>
      </c>
      <c r="F682" s="1001">
        <v>1</v>
      </c>
      <c r="G682" s="1001">
        <f>G683</f>
        <v>8400</v>
      </c>
      <c r="H682" s="1001">
        <f t="shared" ref="H682:Q682" si="67">H683</f>
        <v>2</v>
      </c>
      <c r="I682" s="1001">
        <f t="shared" si="67"/>
        <v>9450</v>
      </c>
      <c r="J682" s="1001">
        <f t="shared" si="67"/>
        <v>2</v>
      </c>
      <c r="K682" s="1001">
        <f>K683</f>
        <v>9450</v>
      </c>
      <c r="L682" s="1001">
        <f t="shared" si="67"/>
        <v>2</v>
      </c>
      <c r="M682" s="1001">
        <f t="shared" si="67"/>
        <v>10000</v>
      </c>
      <c r="N682" s="1001">
        <f t="shared" si="67"/>
        <v>2</v>
      </c>
      <c r="O682" s="1001">
        <f t="shared" si="67"/>
        <v>10000</v>
      </c>
      <c r="P682" s="1001">
        <f t="shared" si="67"/>
        <v>2</v>
      </c>
      <c r="Q682" s="1001">
        <f t="shared" si="67"/>
        <v>10000</v>
      </c>
      <c r="R682" s="1001">
        <f>E682+F682+H682+J682+L682+N682</f>
        <v>14</v>
      </c>
      <c r="S682" s="1004"/>
      <c r="T682" s="1004"/>
    </row>
    <row r="683" spans="2:20" s="1003" customFormat="1" ht="63.75" x14ac:dyDescent="0.25">
      <c r="B683" s="998" t="s">
        <v>1712</v>
      </c>
      <c r="C683" s="1000" t="s">
        <v>3250</v>
      </c>
      <c r="D683" s="1025"/>
      <c r="E683" s="1001"/>
      <c r="F683" s="1001">
        <v>1</v>
      </c>
      <c r="G683" s="1001">
        <v>8400</v>
      </c>
      <c r="H683" s="1001">
        <v>2</v>
      </c>
      <c r="I683" s="1001">
        <v>9450</v>
      </c>
      <c r="J683" s="1001">
        <v>2</v>
      </c>
      <c r="K683" s="1001">
        <v>9450</v>
      </c>
      <c r="L683" s="1001">
        <v>2</v>
      </c>
      <c r="M683" s="1001">
        <v>10000</v>
      </c>
      <c r="N683" s="1001">
        <v>2</v>
      </c>
      <c r="O683" s="1001">
        <v>10000</v>
      </c>
      <c r="P683" s="1001">
        <v>2</v>
      </c>
      <c r="Q683" s="1001">
        <v>10000</v>
      </c>
      <c r="R683" s="1001"/>
      <c r="S683" s="1004"/>
      <c r="T683" s="1004"/>
    </row>
    <row r="684" spans="2:20" s="1003" customFormat="1" ht="63.75" customHeight="1" x14ac:dyDescent="0.25">
      <c r="B684" s="1065" t="s">
        <v>3251</v>
      </c>
      <c r="C684" s="1000" t="s">
        <v>3252</v>
      </c>
      <c r="D684" s="1025" t="s">
        <v>79</v>
      </c>
      <c r="E684" s="1001">
        <v>5</v>
      </c>
      <c r="F684" s="1001">
        <v>1</v>
      </c>
      <c r="G684" s="2114">
        <f>SUM(G686:G687)</f>
        <v>18900</v>
      </c>
      <c r="H684" s="1001">
        <v>1</v>
      </c>
      <c r="I684" s="2114">
        <f>SUM(I686:I687)</f>
        <v>21000</v>
      </c>
      <c r="J684" s="1001">
        <v>1</v>
      </c>
      <c r="K684" s="2114">
        <f>SUM(K686:K687)</f>
        <v>21000</v>
      </c>
      <c r="L684" s="1001">
        <v>1</v>
      </c>
      <c r="M684" s="2114">
        <f>SUM(M686:M687)</f>
        <v>21000</v>
      </c>
      <c r="N684" s="1001">
        <v>1</v>
      </c>
      <c r="O684" s="2114">
        <f>SUM(O686:O687)</f>
        <v>21000</v>
      </c>
      <c r="P684" s="1001">
        <v>1</v>
      </c>
      <c r="Q684" s="2114">
        <f>SUM(Q686:Q687)</f>
        <v>25000</v>
      </c>
      <c r="R684" s="1001">
        <f>E684+F684+H684+J684+L684+N684</f>
        <v>10</v>
      </c>
      <c r="S684" s="1004"/>
      <c r="T684" s="1004"/>
    </row>
    <row r="685" spans="2:20" s="1003" customFormat="1" ht="38.25" x14ac:dyDescent="0.25">
      <c r="B685" s="1066"/>
      <c r="C685" s="1000" t="s">
        <v>3253</v>
      </c>
      <c r="D685" s="1025" t="s">
        <v>79</v>
      </c>
      <c r="E685" s="1001">
        <v>5</v>
      </c>
      <c r="F685" s="1001">
        <v>1</v>
      </c>
      <c r="G685" s="2114"/>
      <c r="H685" s="1001">
        <v>1</v>
      </c>
      <c r="I685" s="2114"/>
      <c r="J685" s="1001">
        <v>1</v>
      </c>
      <c r="K685" s="2114"/>
      <c r="L685" s="1001">
        <v>1</v>
      </c>
      <c r="M685" s="2114"/>
      <c r="N685" s="1001">
        <v>1</v>
      </c>
      <c r="O685" s="2114"/>
      <c r="P685" s="1001">
        <v>1</v>
      </c>
      <c r="Q685" s="2114"/>
      <c r="R685" s="1001">
        <f>E685+F685+H685+J685+L685+N685</f>
        <v>10</v>
      </c>
      <c r="S685" s="1004"/>
      <c r="T685" s="1004"/>
    </row>
    <row r="686" spans="2:20" s="1003" customFormat="1" ht="38.25" x14ac:dyDescent="0.25">
      <c r="B686" s="998" t="s">
        <v>3254</v>
      </c>
      <c r="C686" s="1000" t="s">
        <v>3255</v>
      </c>
      <c r="D686" s="1025" t="s">
        <v>103</v>
      </c>
      <c r="E686" s="1001"/>
      <c r="F686" s="1001">
        <v>2</v>
      </c>
      <c r="G686" s="1001">
        <v>18900</v>
      </c>
      <c r="H686" s="1001">
        <v>2</v>
      </c>
      <c r="I686" s="1001">
        <v>21000</v>
      </c>
      <c r="J686" s="1001">
        <v>2</v>
      </c>
      <c r="K686" s="1001">
        <v>21000</v>
      </c>
      <c r="L686" s="1001">
        <v>2</v>
      </c>
      <c r="M686" s="1001">
        <v>21000</v>
      </c>
      <c r="N686" s="1001">
        <v>2</v>
      </c>
      <c r="O686" s="1001">
        <v>21000</v>
      </c>
      <c r="P686" s="1001">
        <v>2</v>
      </c>
      <c r="Q686" s="1001">
        <v>25000</v>
      </c>
      <c r="R686" s="1001"/>
      <c r="S686" s="1004"/>
      <c r="T686" s="1004"/>
    </row>
    <row r="687" spans="2:20" s="1003" customFormat="1" ht="51" x14ac:dyDescent="0.25">
      <c r="B687" s="998" t="s">
        <v>3256</v>
      </c>
      <c r="C687" s="1000" t="s">
        <v>3257</v>
      </c>
      <c r="D687" s="1025" t="s">
        <v>103</v>
      </c>
      <c r="E687" s="1001"/>
      <c r="F687" s="1001"/>
      <c r="G687" s="1001"/>
      <c r="H687" s="1001"/>
      <c r="I687" s="1001"/>
      <c r="J687" s="1001"/>
      <c r="K687" s="1001"/>
      <c r="L687" s="1001"/>
      <c r="M687" s="1001"/>
      <c r="N687" s="1001"/>
      <c r="O687" s="1001"/>
      <c r="P687" s="1001"/>
      <c r="Q687" s="1001"/>
      <c r="R687" s="1001"/>
      <c r="S687" s="1004"/>
      <c r="T687" s="1004"/>
    </row>
    <row r="688" spans="2:20" s="1003" customFormat="1" ht="51" x14ac:dyDescent="0.25">
      <c r="B688" s="1106" t="s">
        <v>3420</v>
      </c>
      <c r="C688" s="1000" t="s">
        <v>3386</v>
      </c>
      <c r="D688" s="1025" t="s">
        <v>19</v>
      </c>
      <c r="E688" s="1001">
        <v>100</v>
      </c>
      <c r="F688" s="1001">
        <v>100</v>
      </c>
      <c r="G688" s="1001">
        <f>G689</f>
        <v>53165</v>
      </c>
      <c r="H688" s="1001">
        <v>100</v>
      </c>
      <c r="I688" s="1001">
        <f>I689</f>
        <v>51000</v>
      </c>
      <c r="J688" s="1001">
        <v>100</v>
      </c>
      <c r="K688" s="1001">
        <f>K689</f>
        <v>60000</v>
      </c>
      <c r="L688" s="1001">
        <v>100</v>
      </c>
      <c r="M688" s="1001">
        <f>M689</f>
        <v>60000</v>
      </c>
      <c r="N688" s="1001">
        <v>100</v>
      </c>
      <c r="O688" s="1001">
        <f>O689</f>
        <v>60000</v>
      </c>
      <c r="P688" s="1001">
        <v>100</v>
      </c>
      <c r="Q688" s="1001">
        <v>65000</v>
      </c>
      <c r="R688" s="1001">
        <v>100</v>
      </c>
      <c r="S688" s="1004"/>
      <c r="T688" s="1004"/>
    </row>
    <row r="689" spans="2:20" s="1003" customFormat="1" ht="25.5" x14ac:dyDescent="0.25">
      <c r="B689" s="998" t="s">
        <v>3421</v>
      </c>
      <c r="C689" s="1000" t="s">
        <v>3422</v>
      </c>
      <c r="D689" s="1025" t="s">
        <v>40</v>
      </c>
      <c r="E689" s="1001"/>
      <c r="F689" s="1001">
        <v>12</v>
      </c>
      <c r="G689" s="1001">
        <v>53165</v>
      </c>
      <c r="H689" s="1001">
        <v>12</v>
      </c>
      <c r="I689" s="1001">
        <v>51000</v>
      </c>
      <c r="J689" s="1001">
        <v>12</v>
      </c>
      <c r="K689" s="1001">
        <v>60000</v>
      </c>
      <c r="L689" s="1001">
        <v>12</v>
      </c>
      <c r="M689" s="1001">
        <v>60000</v>
      </c>
      <c r="N689" s="1001">
        <v>12</v>
      </c>
      <c r="O689" s="1001">
        <v>60000</v>
      </c>
      <c r="P689" s="1001">
        <v>12</v>
      </c>
      <c r="Q689" s="1001">
        <v>65000</v>
      </c>
      <c r="R689" s="1001"/>
      <c r="S689" s="1004"/>
      <c r="T689" s="1004"/>
    </row>
    <row r="690" spans="2:20" s="1003" customFormat="1" ht="84" x14ac:dyDescent="0.25">
      <c r="B690" s="1106" t="s">
        <v>1743</v>
      </c>
      <c r="C690" s="1000" t="s">
        <v>3265</v>
      </c>
      <c r="D690" s="1025" t="s">
        <v>19</v>
      </c>
      <c r="E690" s="1001">
        <v>50</v>
      </c>
      <c r="F690" s="1001">
        <v>60</v>
      </c>
      <c r="G690" s="1001">
        <f>SUM(G691:G692)</f>
        <v>57000</v>
      </c>
      <c r="H690" s="1001">
        <v>70</v>
      </c>
      <c r="I690" s="1001">
        <f>SUM(I691:I692)</f>
        <v>40400</v>
      </c>
      <c r="J690" s="1001">
        <v>80</v>
      </c>
      <c r="K690" s="1001">
        <f>SUM(K691:K692)</f>
        <v>40400</v>
      </c>
      <c r="L690" s="1001">
        <v>90</v>
      </c>
      <c r="M690" s="1001">
        <f>SUM(M691:M692)</f>
        <v>44400</v>
      </c>
      <c r="N690" s="1001">
        <v>100</v>
      </c>
      <c r="O690" s="1001">
        <f>SUM(O691:O692)</f>
        <v>45000</v>
      </c>
      <c r="P690" s="1001">
        <v>100</v>
      </c>
      <c r="Q690" s="1001">
        <f>SUM(Q691:Q692)</f>
        <v>45000</v>
      </c>
      <c r="R690" s="1001">
        <v>100</v>
      </c>
      <c r="S690" s="1004"/>
      <c r="T690" s="1004"/>
    </row>
    <row r="691" spans="2:20" s="1003" customFormat="1" ht="25.5" x14ac:dyDescent="0.25">
      <c r="B691" s="998" t="s">
        <v>3266</v>
      </c>
      <c r="C691" s="1000" t="s">
        <v>3267</v>
      </c>
      <c r="D691" s="1025" t="s">
        <v>103</v>
      </c>
      <c r="E691" s="1001"/>
      <c r="F691" s="1001">
        <v>21</v>
      </c>
      <c r="G691" s="1001">
        <v>46000</v>
      </c>
      <c r="H691" s="1001">
        <v>21</v>
      </c>
      <c r="I691" s="1001">
        <v>29400</v>
      </c>
      <c r="J691" s="1001">
        <v>7</v>
      </c>
      <c r="K691" s="1001">
        <v>29400</v>
      </c>
      <c r="L691" s="1001">
        <v>7</v>
      </c>
      <c r="M691" s="1001">
        <v>29400</v>
      </c>
      <c r="N691" s="1001">
        <v>7</v>
      </c>
      <c r="O691" s="1001">
        <v>30000</v>
      </c>
      <c r="P691" s="1001">
        <v>7</v>
      </c>
      <c r="Q691" s="1001">
        <v>30000</v>
      </c>
      <c r="R691" s="1001"/>
      <c r="S691" s="1004"/>
      <c r="T691" s="1004"/>
    </row>
    <row r="692" spans="2:20" s="1003" customFormat="1" ht="76.5" x14ac:dyDescent="0.25">
      <c r="B692" s="998" t="s">
        <v>3390</v>
      </c>
      <c r="C692" s="1000" t="s">
        <v>3273</v>
      </c>
      <c r="D692" s="1025" t="s">
        <v>103</v>
      </c>
      <c r="E692" s="1001"/>
      <c r="F692" s="1001">
        <v>21</v>
      </c>
      <c r="G692" s="1001">
        <v>11000</v>
      </c>
      <c r="H692" s="1001">
        <v>0</v>
      </c>
      <c r="I692" s="1001">
        <v>11000</v>
      </c>
      <c r="J692" s="1001">
        <v>7</v>
      </c>
      <c r="K692" s="1001">
        <v>11000</v>
      </c>
      <c r="L692" s="1001">
        <v>7</v>
      </c>
      <c r="M692" s="1001">
        <v>15000</v>
      </c>
      <c r="N692" s="1001">
        <v>7</v>
      </c>
      <c r="O692" s="1001">
        <v>15000</v>
      </c>
      <c r="P692" s="1001">
        <v>7</v>
      </c>
      <c r="Q692" s="1001">
        <v>15000</v>
      </c>
      <c r="R692" s="1001"/>
      <c r="S692" s="1004"/>
      <c r="T692" s="1004"/>
    </row>
    <row r="693" spans="2:20" s="1003" customFormat="1" ht="76.5" customHeight="1" x14ac:dyDescent="0.25">
      <c r="B693" s="1063" t="s">
        <v>3425</v>
      </c>
      <c r="C693" s="1000" t="s">
        <v>3274</v>
      </c>
      <c r="D693" s="1025" t="s">
        <v>79</v>
      </c>
      <c r="E693" s="1001">
        <v>1</v>
      </c>
      <c r="F693" s="1001">
        <v>1</v>
      </c>
      <c r="G693" s="1001">
        <f>G694</f>
        <v>6000</v>
      </c>
      <c r="H693" s="1001">
        <v>1</v>
      </c>
      <c r="I693" s="1001">
        <f>I694</f>
        <v>7350</v>
      </c>
      <c r="J693" s="1001">
        <v>1</v>
      </c>
      <c r="K693" s="1001">
        <f>K694</f>
        <v>7350</v>
      </c>
      <c r="L693" s="1001">
        <v>1</v>
      </c>
      <c r="M693" s="1001">
        <f>M694</f>
        <v>8000</v>
      </c>
      <c r="N693" s="1001">
        <v>1</v>
      </c>
      <c r="O693" s="1001">
        <f>O694</f>
        <v>8000</v>
      </c>
      <c r="P693" s="1001">
        <v>1</v>
      </c>
      <c r="Q693" s="1001">
        <f>Q694</f>
        <v>8000</v>
      </c>
      <c r="R693" s="1001">
        <f>E693+F693+H693+J693+L693+N693</f>
        <v>6</v>
      </c>
      <c r="S693" s="1004"/>
      <c r="T693" s="1004"/>
    </row>
    <row r="694" spans="2:20" s="1003" customFormat="1" ht="25.5" x14ac:dyDescent="0.25">
      <c r="B694" s="1008" t="s">
        <v>3277</v>
      </c>
      <c r="C694" s="1000" t="s">
        <v>3278</v>
      </c>
      <c r="D694" s="1025" t="s">
        <v>103</v>
      </c>
      <c r="E694" s="1001"/>
      <c r="F694" s="1001">
        <v>12</v>
      </c>
      <c r="G694" s="1001">
        <v>6000</v>
      </c>
      <c r="H694" s="1001">
        <v>12</v>
      </c>
      <c r="I694" s="1001">
        <v>7350</v>
      </c>
      <c r="J694" s="1001">
        <v>12</v>
      </c>
      <c r="K694" s="1001">
        <v>7350</v>
      </c>
      <c r="L694" s="1001">
        <v>12</v>
      </c>
      <c r="M694" s="1001">
        <v>8000</v>
      </c>
      <c r="N694" s="1001">
        <v>12</v>
      </c>
      <c r="O694" s="1001">
        <v>8000</v>
      </c>
      <c r="P694" s="1001">
        <v>12</v>
      </c>
      <c r="Q694" s="1001">
        <v>8000</v>
      </c>
      <c r="R694" s="1001"/>
      <c r="S694" s="1004"/>
      <c r="T694" s="1004"/>
    </row>
    <row r="695" spans="2:20" s="1003" customFormat="1" ht="63.75" customHeight="1" x14ac:dyDescent="0.25">
      <c r="B695" s="1063" t="s">
        <v>3280</v>
      </c>
      <c r="C695" s="1000" t="s">
        <v>3279</v>
      </c>
      <c r="D695" s="1025" t="s">
        <v>327</v>
      </c>
      <c r="E695" s="1001">
        <v>16</v>
      </c>
      <c r="F695" s="1001">
        <v>20</v>
      </c>
      <c r="G695" s="1001">
        <f>SUM(G696:G697)</f>
        <v>13000</v>
      </c>
      <c r="H695" s="1001">
        <v>24</v>
      </c>
      <c r="I695" s="1001">
        <f>SUM(I696:I697)</f>
        <v>14000</v>
      </c>
      <c r="J695" s="1001">
        <v>28</v>
      </c>
      <c r="K695" s="1001">
        <f>SUM(K696:K697)</f>
        <v>16000</v>
      </c>
      <c r="L695" s="1001">
        <v>32</v>
      </c>
      <c r="M695" s="1001">
        <f>SUM(M696:M697)</f>
        <v>14000</v>
      </c>
      <c r="N695" s="1001">
        <v>36</v>
      </c>
      <c r="O695" s="1001">
        <f>SUM(O696:O697)</f>
        <v>15000</v>
      </c>
      <c r="P695" s="1001">
        <v>40</v>
      </c>
      <c r="Q695" s="1001">
        <f>SUM(Q696:Q697)</f>
        <v>15000</v>
      </c>
      <c r="R695" s="1001">
        <f>N695</f>
        <v>36</v>
      </c>
      <c r="S695" s="1004"/>
      <c r="T695" s="1004"/>
    </row>
    <row r="696" spans="2:20" s="1003" customFormat="1" ht="38.25" x14ac:dyDescent="0.25">
      <c r="B696" s="1008" t="s">
        <v>1298</v>
      </c>
      <c r="C696" s="1000" t="s">
        <v>3281</v>
      </c>
      <c r="D696" s="1025" t="s">
        <v>327</v>
      </c>
      <c r="E696" s="1001"/>
      <c r="F696" s="1001">
        <v>21</v>
      </c>
      <c r="G696" s="1001">
        <v>5000</v>
      </c>
      <c r="H696" s="1001">
        <v>11</v>
      </c>
      <c r="I696" s="1001">
        <v>6000</v>
      </c>
      <c r="J696" s="1001">
        <v>11</v>
      </c>
      <c r="K696" s="1001">
        <v>6000</v>
      </c>
      <c r="L696" s="1001">
        <v>11</v>
      </c>
      <c r="M696" s="1001">
        <v>7000</v>
      </c>
      <c r="N696" s="1001">
        <v>11</v>
      </c>
      <c r="O696" s="1001">
        <v>7000</v>
      </c>
      <c r="P696" s="1001">
        <v>11</v>
      </c>
      <c r="Q696" s="1001">
        <v>7000</v>
      </c>
      <c r="R696" s="1001"/>
      <c r="S696" s="1004"/>
      <c r="T696" s="1004"/>
    </row>
    <row r="697" spans="2:20" s="1003" customFormat="1" ht="38.25" x14ac:dyDescent="0.25">
      <c r="B697" s="1008" t="s">
        <v>3282</v>
      </c>
      <c r="C697" s="1000" t="s">
        <v>3283</v>
      </c>
      <c r="D697" s="1025" t="s">
        <v>327</v>
      </c>
      <c r="E697" s="1001"/>
      <c r="F697" s="1001">
        <v>21</v>
      </c>
      <c r="G697" s="1001">
        <v>8000</v>
      </c>
      <c r="H697" s="1001">
        <v>15</v>
      </c>
      <c r="I697" s="1001">
        <v>8000</v>
      </c>
      <c r="J697" s="1001">
        <v>10</v>
      </c>
      <c r="K697" s="1001">
        <v>10000</v>
      </c>
      <c r="L697" s="1001">
        <v>15</v>
      </c>
      <c r="M697" s="1001">
        <v>7000</v>
      </c>
      <c r="N697" s="1001">
        <v>15</v>
      </c>
      <c r="O697" s="1001">
        <v>8000</v>
      </c>
      <c r="P697" s="1001">
        <v>15</v>
      </c>
      <c r="Q697" s="1001">
        <v>8000</v>
      </c>
      <c r="R697" s="1001"/>
      <c r="S697" s="1004"/>
      <c r="T697" s="1004"/>
    </row>
    <row r="698" spans="2:20" s="1003" customFormat="1" ht="60" x14ac:dyDescent="0.25">
      <c r="B698" s="1106" t="s">
        <v>3284</v>
      </c>
      <c r="C698" s="1009" t="s">
        <v>3285</v>
      </c>
      <c r="D698" s="1025" t="s">
        <v>364</v>
      </c>
      <c r="E698" s="1001">
        <v>100</v>
      </c>
      <c r="F698" s="1001">
        <v>0</v>
      </c>
      <c r="G698" s="1001">
        <f>SUM(G699:G701)</f>
        <v>10000</v>
      </c>
      <c r="H698" s="1001">
        <v>44</v>
      </c>
      <c r="I698" s="1001">
        <f>SUM(I699:I701)</f>
        <v>11000</v>
      </c>
      <c r="J698" s="1001">
        <v>33</v>
      </c>
      <c r="K698" s="1001">
        <f>SUM(K699:K701)</f>
        <v>17000</v>
      </c>
      <c r="L698" s="1001">
        <v>33</v>
      </c>
      <c r="M698" s="1001">
        <f>SUM(M699:M701)</f>
        <v>12000</v>
      </c>
      <c r="N698" s="1001">
        <v>33</v>
      </c>
      <c r="O698" s="1001">
        <f>SUM(O699:O701)</f>
        <v>14000</v>
      </c>
      <c r="P698" s="1001">
        <v>33</v>
      </c>
      <c r="Q698" s="1001">
        <f>SUM(Q699:Q701)</f>
        <v>16000</v>
      </c>
      <c r="R698" s="1001">
        <f>N698</f>
        <v>33</v>
      </c>
      <c r="S698" s="1004"/>
      <c r="T698" s="1004"/>
    </row>
    <row r="699" spans="2:20" s="1003" customFormat="1" ht="25.5" x14ac:dyDescent="0.25">
      <c r="B699" s="998" t="s">
        <v>3485</v>
      </c>
      <c r="C699" s="1009" t="s">
        <v>3287</v>
      </c>
      <c r="D699" s="1025" t="s">
        <v>97</v>
      </c>
      <c r="E699" s="1001"/>
      <c r="F699" s="1001">
        <v>21</v>
      </c>
      <c r="G699" s="1001">
        <v>6000</v>
      </c>
      <c r="H699" s="1001">
        <v>44</v>
      </c>
      <c r="I699" s="1001">
        <v>0</v>
      </c>
      <c r="J699" s="1001">
        <v>21</v>
      </c>
      <c r="K699" s="1001">
        <v>6000</v>
      </c>
      <c r="L699" s="1001">
        <v>21</v>
      </c>
      <c r="M699" s="1001">
        <v>6000</v>
      </c>
      <c r="N699" s="1001">
        <v>21</v>
      </c>
      <c r="O699" s="1001">
        <v>7000</v>
      </c>
      <c r="P699" s="1001">
        <v>21</v>
      </c>
      <c r="Q699" s="1001">
        <v>8000</v>
      </c>
      <c r="R699" s="1001"/>
      <c r="S699" s="1004"/>
      <c r="T699" s="1004"/>
    </row>
    <row r="700" spans="2:20" s="1003" customFormat="1" ht="38.25" x14ac:dyDescent="0.25">
      <c r="B700" s="998" t="s">
        <v>3486</v>
      </c>
      <c r="C700" s="1009" t="s">
        <v>3487</v>
      </c>
      <c r="D700" s="1025" t="s">
        <v>97</v>
      </c>
      <c r="E700" s="1001"/>
      <c r="F700" s="1001">
        <v>21</v>
      </c>
      <c r="G700" s="1001">
        <v>4000</v>
      </c>
      <c r="H700" s="1001">
        <v>21</v>
      </c>
      <c r="I700" s="1001">
        <v>5000</v>
      </c>
      <c r="J700" s="1001">
        <v>21</v>
      </c>
      <c r="K700" s="1001">
        <v>5000</v>
      </c>
      <c r="L700" s="1001"/>
      <c r="M700" s="1001">
        <v>6000</v>
      </c>
      <c r="N700" s="1001"/>
      <c r="O700" s="1001">
        <v>7000</v>
      </c>
      <c r="P700" s="1001"/>
      <c r="Q700" s="1001">
        <v>8000</v>
      </c>
      <c r="R700" s="1001"/>
      <c r="S700" s="1004"/>
      <c r="T700" s="1004"/>
    </row>
    <row r="701" spans="2:20" s="1003" customFormat="1" ht="25.5" x14ac:dyDescent="0.25">
      <c r="B701" s="998" t="s">
        <v>3488</v>
      </c>
      <c r="C701" s="1009" t="s">
        <v>3489</v>
      </c>
      <c r="D701" s="1025" t="s">
        <v>97</v>
      </c>
      <c r="E701" s="1001"/>
      <c r="F701" s="1001">
        <v>21</v>
      </c>
      <c r="G701" s="1001"/>
      <c r="H701" s="1001">
        <v>21</v>
      </c>
      <c r="I701" s="1001">
        <v>6000</v>
      </c>
      <c r="J701" s="1001">
        <v>21</v>
      </c>
      <c r="K701" s="1001">
        <v>6000</v>
      </c>
      <c r="L701" s="1001"/>
      <c r="M701" s="1001"/>
      <c r="N701" s="1001"/>
      <c r="O701" s="1001"/>
      <c r="P701" s="1001"/>
      <c r="Q701" s="1001"/>
      <c r="R701" s="1001"/>
      <c r="S701" s="1004"/>
      <c r="T701" s="1004"/>
    </row>
    <row r="702" spans="2:20" s="1003" customFormat="1" ht="48" x14ac:dyDescent="0.25">
      <c r="B702" s="1106" t="s">
        <v>3289</v>
      </c>
      <c r="C702" s="1009" t="s">
        <v>3288</v>
      </c>
      <c r="D702" s="1025" t="s">
        <v>100</v>
      </c>
      <c r="E702" s="1001">
        <v>30</v>
      </c>
      <c r="F702" s="1001">
        <f>F703</f>
        <v>150</v>
      </c>
      <c r="G702" s="1001">
        <f t="shared" ref="G702:Q702" si="68">G703</f>
        <v>10000</v>
      </c>
      <c r="H702" s="1001">
        <f t="shared" si="68"/>
        <v>150</v>
      </c>
      <c r="I702" s="1001">
        <f t="shared" si="68"/>
        <v>10000</v>
      </c>
      <c r="J702" s="1001">
        <f t="shared" si="68"/>
        <v>150</v>
      </c>
      <c r="K702" s="1001">
        <f t="shared" si="68"/>
        <v>10000</v>
      </c>
      <c r="L702" s="1001">
        <f t="shared" si="68"/>
        <v>150</v>
      </c>
      <c r="M702" s="1001">
        <f t="shared" si="68"/>
        <v>15000</v>
      </c>
      <c r="N702" s="1001">
        <f t="shared" si="68"/>
        <v>150</v>
      </c>
      <c r="O702" s="1001">
        <f t="shared" si="68"/>
        <v>16000</v>
      </c>
      <c r="P702" s="1001">
        <f t="shared" si="68"/>
        <v>50</v>
      </c>
      <c r="Q702" s="1001">
        <f t="shared" si="68"/>
        <v>16500</v>
      </c>
      <c r="R702" s="1001">
        <f>F702+H702+J702+L702+N702</f>
        <v>750</v>
      </c>
      <c r="S702" s="1004"/>
      <c r="T702" s="1004"/>
    </row>
    <row r="703" spans="2:20" s="1003" customFormat="1" ht="76.5" x14ac:dyDescent="0.25">
      <c r="B703" s="998" t="s">
        <v>894</v>
      </c>
      <c r="C703" s="1009" t="s">
        <v>3290</v>
      </c>
      <c r="D703" s="1025" t="s">
        <v>100</v>
      </c>
      <c r="E703" s="1001"/>
      <c r="F703" s="1001">
        <v>150</v>
      </c>
      <c r="G703" s="1001">
        <v>10000</v>
      </c>
      <c r="H703" s="1001">
        <v>150</v>
      </c>
      <c r="I703" s="1001">
        <v>10000</v>
      </c>
      <c r="J703" s="1001">
        <v>150</v>
      </c>
      <c r="K703" s="1001">
        <v>10000</v>
      </c>
      <c r="L703" s="1001">
        <v>150</v>
      </c>
      <c r="M703" s="1001">
        <v>15000</v>
      </c>
      <c r="N703" s="1001">
        <v>150</v>
      </c>
      <c r="O703" s="1001">
        <v>16000</v>
      </c>
      <c r="P703" s="1001">
        <v>50</v>
      </c>
      <c r="Q703" s="1001">
        <v>16500</v>
      </c>
      <c r="R703" s="1001"/>
      <c r="S703" s="1004"/>
      <c r="T703" s="1004"/>
    </row>
    <row r="704" spans="2:20" s="1003" customFormat="1" ht="60" x14ac:dyDescent="0.25">
      <c r="B704" s="1063" t="s">
        <v>3292</v>
      </c>
      <c r="C704" s="1000" t="s">
        <v>3291</v>
      </c>
      <c r="D704" s="1025" t="s">
        <v>19</v>
      </c>
      <c r="E704" s="1001">
        <v>75</v>
      </c>
      <c r="F704" s="1001">
        <v>77</v>
      </c>
      <c r="G704" s="1001">
        <f>G705</f>
        <v>1000</v>
      </c>
      <c r="H704" s="1001"/>
      <c r="I704" s="1001">
        <f>I705</f>
        <v>4000</v>
      </c>
      <c r="J704" s="1001"/>
      <c r="K704" s="1001">
        <f>K705</f>
        <v>0</v>
      </c>
      <c r="L704" s="1001">
        <v>19</v>
      </c>
      <c r="M704" s="1001">
        <f>M705</f>
        <v>28500</v>
      </c>
      <c r="N704" s="1001"/>
      <c r="O704" s="1001">
        <f>O705</f>
        <v>0</v>
      </c>
      <c r="P704" s="1001"/>
      <c r="Q704" s="1001">
        <f>Q705</f>
        <v>0</v>
      </c>
      <c r="R704" s="1001">
        <f>L704</f>
        <v>19</v>
      </c>
      <c r="S704" s="1004"/>
      <c r="T704" s="1004"/>
    </row>
    <row r="705" spans="2:20" s="1003" customFormat="1" ht="38.25" x14ac:dyDescent="0.25">
      <c r="B705" s="1008" t="s">
        <v>3293</v>
      </c>
      <c r="C705" s="1000" t="s">
        <v>3294</v>
      </c>
      <c r="D705" s="1025" t="s">
        <v>103</v>
      </c>
      <c r="E705" s="1001"/>
      <c r="F705" s="1001">
        <v>1</v>
      </c>
      <c r="G705" s="1001">
        <v>1000</v>
      </c>
      <c r="H705" s="1001">
        <v>2</v>
      </c>
      <c r="I705" s="1001">
        <v>4000</v>
      </c>
      <c r="J705" s="1001"/>
      <c r="K705" s="1001">
        <v>0</v>
      </c>
      <c r="L705" s="1001">
        <v>19</v>
      </c>
      <c r="M705" s="1001">
        <v>28500</v>
      </c>
      <c r="N705" s="1001">
        <v>0</v>
      </c>
      <c r="O705" s="1001">
        <v>0</v>
      </c>
      <c r="P705" s="1001">
        <v>0</v>
      </c>
      <c r="Q705" s="1001">
        <v>0</v>
      </c>
      <c r="R705" s="1001"/>
      <c r="S705" s="1004"/>
      <c r="T705" s="1004"/>
    </row>
    <row r="706" spans="2:20" s="1003" customFormat="1" ht="72" x14ac:dyDescent="0.25">
      <c r="B706" s="1063" t="s">
        <v>1716</v>
      </c>
      <c r="C706" s="1000" t="s">
        <v>3490</v>
      </c>
      <c r="D706" s="1025" t="s">
        <v>100</v>
      </c>
      <c r="E706" s="1001"/>
      <c r="F706" s="1001">
        <f>F707</f>
        <v>21</v>
      </c>
      <c r="G706" s="1001">
        <f>G707</f>
        <v>6000</v>
      </c>
      <c r="H706" s="1001">
        <f>H707</f>
        <v>21</v>
      </c>
      <c r="I706" s="1001">
        <f>I707</f>
        <v>6000</v>
      </c>
      <c r="J706" s="1001">
        <v>21</v>
      </c>
      <c r="K706" s="1001">
        <f>K707</f>
        <v>6000</v>
      </c>
      <c r="L706" s="1001">
        <v>21</v>
      </c>
      <c r="M706" s="1001">
        <f>M707</f>
        <v>7000</v>
      </c>
      <c r="N706" s="1001">
        <v>21</v>
      </c>
      <c r="O706" s="1001">
        <f>O707</f>
        <v>7000</v>
      </c>
      <c r="P706" s="1001">
        <v>21</v>
      </c>
      <c r="Q706" s="1001">
        <v>8000</v>
      </c>
      <c r="R706" s="1001"/>
      <c r="S706" s="1004"/>
      <c r="T706" s="1004"/>
    </row>
    <row r="707" spans="2:20" s="1003" customFormat="1" ht="38.25" x14ac:dyDescent="0.25">
      <c r="B707" s="1008" t="s">
        <v>3491</v>
      </c>
      <c r="C707" s="1000"/>
      <c r="D707" s="1025"/>
      <c r="E707" s="1001"/>
      <c r="F707" s="1001">
        <v>21</v>
      </c>
      <c r="G707" s="1001">
        <v>6000</v>
      </c>
      <c r="H707" s="1001">
        <v>21</v>
      </c>
      <c r="I707" s="1001">
        <v>6000</v>
      </c>
      <c r="J707" s="1001">
        <v>21</v>
      </c>
      <c r="K707" s="1001">
        <v>6000</v>
      </c>
      <c r="L707" s="1001">
        <v>21</v>
      </c>
      <c r="M707" s="1001">
        <v>7000</v>
      </c>
      <c r="N707" s="1001">
        <v>21</v>
      </c>
      <c r="O707" s="1001">
        <v>7000</v>
      </c>
      <c r="P707" s="1001">
        <v>21</v>
      </c>
      <c r="Q707" s="1001">
        <v>8000</v>
      </c>
      <c r="R707" s="1001"/>
      <c r="S707" s="1004"/>
      <c r="T707" s="1004"/>
    </row>
    <row r="708" spans="2:20" s="1003" customFormat="1" ht="60" x14ac:dyDescent="0.25">
      <c r="B708" s="1063" t="s">
        <v>3296</v>
      </c>
      <c r="C708" s="1000" t="s">
        <v>3295</v>
      </c>
      <c r="D708" s="1025" t="s">
        <v>327</v>
      </c>
      <c r="E708" s="1001">
        <v>21</v>
      </c>
      <c r="F708" s="1001">
        <v>21</v>
      </c>
      <c r="G708" s="1001">
        <f t="shared" ref="G708:Q708" si="69">G709</f>
        <v>5000</v>
      </c>
      <c r="H708" s="1001">
        <f t="shared" si="69"/>
        <v>21</v>
      </c>
      <c r="I708" s="1001">
        <f t="shared" si="69"/>
        <v>7000</v>
      </c>
      <c r="J708" s="1001">
        <f t="shared" si="69"/>
        <v>21</v>
      </c>
      <c r="K708" s="1001">
        <f t="shared" si="69"/>
        <v>7000</v>
      </c>
      <c r="L708" s="1001">
        <f t="shared" si="69"/>
        <v>21</v>
      </c>
      <c r="M708" s="1001">
        <f t="shared" si="69"/>
        <v>7000</v>
      </c>
      <c r="N708" s="1001">
        <v>21</v>
      </c>
      <c r="O708" s="1001">
        <f t="shared" si="69"/>
        <v>8000</v>
      </c>
      <c r="P708" s="1001">
        <f t="shared" si="69"/>
        <v>21</v>
      </c>
      <c r="Q708" s="1001">
        <f t="shared" si="69"/>
        <v>8000</v>
      </c>
      <c r="R708" s="1001">
        <f>N708</f>
        <v>21</v>
      </c>
      <c r="S708" s="1004"/>
      <c r="T708" s="1004"/>
    </row>
    <row r="709" spans="2:20" s="1003" customFormat="1" x14ac:dyDescent="0.25">
      <c r="B709" s="1008" t="s">
        <v>383</v>
      </c>
      <c r="C709" s="1000" t="s">
        <v>3297</v>
      </c>
      <c r="D709" s="1025"/>
      <c r="E709" s="1001"/>
      <c r="F709" s="1001">
        <v>21</v>
      </c>
      <c r="G709" s="1001">
        <v>5000</v>
      </c>
      <c r="H709" s="1001">
        <v>21</v>
      </c>
      <c r="I709" s="1001">
        <v>7000</v>
      </c>
      <c r="J709" s="1001">
        <v>21</v>
      </c>
      <c r="K709" s="1001">
        <v>7000</v>
      </c>
      <c r="L709" s="1001">
        <v>21</v>
      </c>
      <c r="M709" s="1001">
        <v>7000</v>
      </c>
      <c r="N709" s="1001">
        <v>21</v>
      </c>
      <c r="O709" s="1001">
        <v>8000</v>
      </c>
      <c r="P709" s="1001">
        <v>21</v>
      </c>
      <c r="Q709" s="1001">
        <v>8000</v>
      </c>
      <c r="R709" s="1001"/>
      <c r="S709" s="1004"/>
      <c r="T709" s="1004"/>
    </row>
    <row r="710" spans="2:20" s="1032" customFormat="1" x14ac:dyDescent="0.25">
      <c r="B710" s="1027" t="s">
        <v>2651</v>
      </c>
      <c r="C710" s="1033"/>
      <c r="D710" s="1034"/>
      <c r="E710" s="1033"/>
      <c r="F710" s="1033"/>
      <c r="G710" s="1035">
        <f>SUM(G708+G706+G704+G702+G698+G695+G693+G690+G688+G684+G682+G680+G673+G659)</f>
        <v>323727</v>
      </c>
      <c r="H710" s="1033"/>
      <c r="I710" s="1035">
        <f>SUM(I708+I706+I704+I702+I698+I695+I693+I690+I688+I684+I682+I680+I673+I659)</f>
        <v>316000</v>
      </c>
      <c r="J710" s="1033"/>
      <c r="K710" s="1035">
        <f>SUM(K708+K706+K704+K702+K698+K695+K693+K690+K688+K684+K682+K680+K673+K659)</f>
        <v>335400</v>
      </c>
      <c r="L710" s="1033"/>
      <c r="M710" s="1035">
        <f>SUM(M708+M706+M704+M702+M698+M695+M693+M690+M688+M684+M682+M680+M673+M659)</f>
        <v>386900</v>
      </c>
      <c r="N710" s="1033"/>
      <c r="O710" s="1035">
        <f>SUM(O708+O706+O704+O702+O698+O695+O693+O690+O688+O684+O682+O680+O673+O659)</f>
        <v>372000</v>
      </c>
      <c r="P710" s="1033"/>
      <c r="Q710" s="1035">
        <f>SUM(Q708+Q706+Q704+Q702+Q698+Q695+Q693+Q690+Q688+Q684+Q682+Q680+Q673+Q659)</f>
        <v>406900</v>
      </c>
      <c r="R710" s="1033"/>
      <c r="S710" s="1036"/>
      <c r="T710" s="1036"/>
    </row>
    <row r="711" spans="2:20" s="1003" customFormat="1" x14ac:dyDescent="0.25">
      <c r="B711" s="1005"/>
      <c r="C711" s="1100"/>
      <c r="D711" s="1000"/>
      <c r="E711" s="1001"/>
      <c r="F711" s="1001"/>
      <c r="G711" s="1001"/>
      <c r="H711" s="1001"/>
      <c r="I711" s="1001"/>
      <c r="J711" s="1001"/>
      <c r="K711" s="1001"/>
      <c r="L711" s="1001"/>
      <c r="M711" s="1001"/>
      <c r="N711" s="1001"/>
      <c r="O711" s="1001"/>
      <c r="P711" s="1001"/>
      <c r="Q711" s="1001"/>
      <c r="R711" s="1001"/>
      <c r="S711" s="1004"/>
      <c r="T711" s="1004"/>
    </row>
    <row r="712" spans="2:20" s="1003" customFormat="1" x14ac:dyDescent="0.25">
      <c r="B712" s="1005"/>
      <c r="C712" s="1100"/>
      <c r="D712" s="1000"/>
      <c r="E712" s="1001"/>
      <c r="F712" s="1001"/>
      <c r="G712" s="1001"/>
      <c r="H712" s="1001"/>
      <c r="I712" s="1001"/>
      <c r="J712" s="1001"/>
      <c r="K712" s="1001"/>
      <c r="L712" s="1001"/>
      <c r="M712" s="1001"/>
      <c r="N712" s="1001"/>
      <c r="O712" s="1001"/>
      <c r="P712" s="1001"/>
      <c r="Q712" s="1001"/>
      <c r="R712" s="1001"/>
      <c r="S712" s="1004"/>
      <c r="T712" s="1004"/>
    </row>
    <row r="713" spans="2:20" s="1003" customFormat="1" x14ac:dyDescent="0.25">
      <c r="B713" s="1167" t="s">
        <v>3492</v>
      </c>
      <c r="C713" s="1100"/>
      <c r="D713" s="1000"/>
      <c r="E713" s="1001"/>
      <c r="F713" s="1001"/>
      <c r="G713" s="1001"/>
      <c r="H713" s="1001"/>
      <c r="I713" s="1001"/>
      <c r="J713" s="1001"/>
      <c r="K713" s="1001"/>
      <c r="L713" s="1001"/>
      <c r="M713" s="1001"/>
      <c r="N713" s="1001"/>
      <c r="O713" s="1001"/>
      <c r="P713" s="1001"/>
      <c r="Q713" s="1001"/>
      <c r="R713" s="1001"/>
      <c r="S713" s="1004"/>
      <c r="T713" s="1004"/>
    </row>
    <row r="714" spans="2:20" s="1003" customFormat="1" ht="51" customHeight="1" x14ac:dyDescent="0.25">
      <c r="B714" s="998"/>
      <c r="C714" s="999" t="s">
        <v>3228</v>
      </c>
      <c r="D714" s="1025" t="s">
        <v>19</v>
      </c>
      <c r="E714" s="1001">
        <v>90</v>
      </c>
      <c r="F714" s="1001">
        <v>93</v>
      </c>
      <c r="G714" s="1001"/>
      <c r="H714" s="1001">
        <v>94</v>
      </c>
      <c r="I714" s="1001"/>
      <c r="J714" s="1001">
        <v>95</v>
      </c>
      <c r="K714" s="1001"/>
      <c r="L714" s="1001">
        <v>96</v>
      </c>
      <c r="M714" s="1001"/>
      <c r="N714" s="1001">
        <v>97</v>
      </c>
      <c r="O714" s="1001"/>
      <c r="P714" s="1001">
        <v>98</v>
      </c>
      <c r="Q714" s="1001"/>
      <c r="R714" s="1001">
        <v>97</v>
      </c>
      <c r="S714" s="1002"/>
      <c r="T714" s="1002"/>
    </row>
    <row r="715" spans="2:20" s="1003" customFormat="1" ht="63.75" x14ac:dyDescent="0.25">
      <c r="B715" s="1106" t="s">
        <v>3229</v>
      </c>
      <c r="C715" s="1000" t="s">
        <v>1488</v>
      </c>
      <c r="D715" s="1025" t="s">
        <v>19</v>
      </c>
      <c r="E715" s="1001">
        <v>100</v>
      </c>
      <c r="F715" s="1001">
        <v>20</v>
      </c>
      <c r="G715" s="1001">
        <f>SUM(G716:G728)</f>
        <v>95309</v>
      </c>
      <c r="H715" s="1001">
        <v>20</v>
      </c>
      <c r="I715" s="1001">
        <f>SUM(I716:I728)</f>
        <v>89659</v>
      </c>
      <c r="J715" s="1001">
        <v>20</v>
      </c>
      <c r="K715" s="1001">
        <f>SUM(K716:K728)</f>
        <v>107000</v>
      </c>
      <c r="L715" s="1001">
        <v>20</v>
      </c>
      <c r="M715" s="1001">
        <f>SUM(M716:M728)</f>
        <v>125650</v>
      </c>
      <c r="N715" s="1001">
        <v>20</v>
      </c>
      <c r="O715" s="1001">
        <f>SUM(O716:O728)</f>
        <v>110600</v>
      </c>
      <c r="P715" s="1001">
        <v>20</v>
      </c>
      <c r="Q715" s="1001">
        <f>SUM(Q716:Q728)</f>
        <v>142400</v>
      </c>
      <c r="R715" s="1001">
        <v>100</v>
      </c>
      <c r="S715" s="1004"/>
      <c r="T715" s="1004"/>
    </row>
    <row r="716" spans="2:20" s="1003" customFormat="1" ht="25.5" x14ac:dyDescent="0.25">
      <c r="B716" s="998" t="s">
        <v>124</v>
      </c>
      <c r="C716" s="1100" t="s">
        <v>3230</v>
      </c>
      <c r="D716" s="1025" t="s">
        <v>40</v>
      </c>
      <c r="E716" s="1001"/>
      <c r="F716" s="1001">
        <v>12</v>
      </c>
      <c r="G716" s="1001">
        <v>2000</v>
      </c>
      <c r="H716" s="1001">
        <v>12</v>
      </c>
      <c r="I716" s="1001">
        <v>2000</v>
      </c>
      <c r="J716" s="1001">
        <v>12</v>
      </c>
      <c r="K716" s="1001">
        <v>3000</v>
      </c>
      <c r="L716" s="1001">
        <v>12</v>
      </c>
      <c r="M716" s="1001">
        <v>3650</v>
      </c>
      <c r="N716" s="1001">
        <v>12</v>
      </c>
      <c r="O716" s="1001">
        <v>4000</v>
      </c>
      <c r="P716" s="1001">
        <v>12</v>
      </c>
      <c r="Q716" s="1001">
        <v>4400</v>
      </c>
      <c r="R716" s="1001"/>
      <c r="S716" s="1004"/>
      <c r="T716" s="1004"/>
    </row>
    <row r="717" spans="2:20" s="1003" customFormat="1" ht="51" x14ac:dyDescent="0.25">
      <c r="B717" s="1005" t="s">
        <v>126</v>
      </c>
      <c r="C717" s="1100" t="s">
        <v>2518</v>
      </c>
      <c r="D717" s="1025" t="s">
        <v>40</v>
      </c>
      <c r="E717" s="1001"/>
      <c r="F717" s="1001">
        <v>12</v>
      </c>
      <c r="G717" s="1001">
        <v>11000</v>
      </c>
      <c r="H717" s="1001">
        <v>12</v>
      </c>
      <c r="I717" s="1001">
        <v>9000</v>
      </c>
      <c r="J717" s="1001">
        <v>12</v>
      </c>
      <c r="K717" s="1001">
        <v>11000</v>
      </c>
      <c r="L717" s="1001">
        <v>12</v>
      </c>
      <c r="M717" s="1001">
        <v>13000</v>
      </c>
      <c r="N717" s="1001">
        <v>12</v>
      </c>
      <c r="O717" s="1001">
        <v>10000</v>
      </c>
      <c r="P717" s="1001">
        <v>12</v>
      </c>
      <c r="Q717" s="1001">
        <v>15000</v>
      </c>
      <c r="R717" s="1001"/>
      <c r="S717" s="1004"/>
      <c r="T717" s="1004"/>
    </row>
    <row r="718" spans="2:20" s="1003" customFormat="1" ht="76.5" x14ac:dyDescent="0.25">
      <c r="B718" s="1005" t="s">
        <v>3231</v>
      </c>
      <c r="C718" s="1100" t="s">
        <v>2519</v>
      </c>
      <c r="D718" s="1025" t="s">
        <v>40</v>
      </c>
      <c r="E718" s="1001"/>
      <c r="F718" s="1001">
        <v>12</v>
      </c>
      <c r="G718" s="1001">
        <v>20000</v>
      </c>
      <c r="H718" s="1001">
        <v>12</v>
      </c>
      <c r="I718" s="1001">
        <v>20000</v>
      </c>
      <c r="J718" s="1001">
        <v>12</v>
      </c>
      <c r="K718" s="1001">
        <v>22000</v>
      </c>
      <c r="L718" s="1001">
        <v>12</v>
      </c>
      <c r="M718" s="1001">
        <v>25000</v>
      </c>
      <c r="N718" s="1001">
        <v>12</v>
      </c>
      <c r="O718" s="1001">
        <v>25500</v>
      </c>
      <c r="P718" s="1001">
        <v>12</v>
      </c>
      <c r="Q718" s="1001">
        <v>26000</v>
      </c>
      <c r="R718" s="1001"/>
      <c r="S718" s="1004"/>
      <c r="T718" s="1004"/>
    </row>
    <row r="719" spans="2:20" s="1003" customFormat="1" ht="38.25" x14ac:dyDescent="0.25">
      <c r="B719" s="1005" t="s">
        <v>45</v>
      </c>
      <c r="C719" s="1100" t="s">
        <v>2520</v>
      </c>
      <c r="D719" s="1025" t="s">
        <v>40</v>
      </c>
      <c r="E719" s="1001"/>
      <c r="F719" s="1001">
        <v>12</v>
      </c>
      <c r="G719" s="1001">
        <v>15000</v>
      </c>
      <c r="H719" s="1001">
        <v>12</v>
      </c>
      <c r="I719" s="1001">
        <v>17000</v>
      </c>
      <c r="J719" s="1001">
        <v>12</v>
      </c>
      <c r="K719" s="1001">
        <v>18000</v>
      </c>
      <c r="L719" s="1001">
        <v>12</v>
      </c>
      <c r="M719" s="1001">
        <v>20000</v>
      </c>
      <c r="N719" s="1001">
        <v>12</v>
      </c>
      <c r="O719" s="1001">
        <v>2100</v>
      </c>
      <c r="P719" s="1001">
        <v>12</v>
      </c>
      <c r="Q719" s="1001">
        <v>22000</v>
      </c>
      <c r="R719" s="1001"/>
      <c r="S719" s="1004"/>
      <c r="T719" s="1004"/>
    </row>
    <row r="720" spans="2:20" s="1003" customFormat="1" ht="38.25" x14ac:dyDescent="0.25">
      <c r="B720" s="1005" t="s">
        <v>47</v>
      </c>
      <c r="C720" s="1100" t="s">
        <v>2521</v>
      </c>
      <c r="D720" s="1025" t="s">
        <v>40</v>
      </c>
      <c r="E720" s="1001"/>
      <c r="F720" s="1001">
        <v>12</v>
      </c>
      <c r="G720" s="1001">
        <v>2000</v>
      </c>
      <c r="H720" s="1001">
        <v>12</v>
      </c>
      <c r="I720" s="1001">
        <v>2500</v>
      </c>
      <c r="J720" s="1001">
        <v>12</v>
      </c>
      <c r="K720" s="1001">
        <v>4000</v>
      </c>
      <c r="L720" s="1001">
        <v>12</v>
      </c>
      <c r="M720" s="1001">
        <v>3500</v>
      </c>
      <c r="N720" s="1001">
        <v>12</v>
      </c>
      <c r="O720" s="1001">
        <v>4000</v>
      </c>
      <c r="P720" s="1001">
        <v>12</v>
      </c>
      <c r="Q720" s="1001">
        <v>4500</v>
      </c>
      <c r="R720" s="1001"/>
      <c r="S720" s="1004"/>
      <c r="T720" s="1004"/>
    </row>
    <row r="721" spans="2:20" s="1003" customFormat="1" ht="51" x14ac:dyDescent="0.25">
      <c r="B721" s="1005" t="s">
        <v>923</v>
      </c>
      <c r="C721" s="1100" t="s">
        <v>2522</v>
      </c>
      <c r="D721" s="1025" t="s">
        <v>40</v>
      </c>
      <c r="E721" s="1001"/>
      <c r="F721" s="1001">
        <v>12</v>
      </c>
      <c r="G721" s="1001">
        <v>4000</v>
      </c>
      <c r="H721" s="1001">
        <v>12</v>
      </c>
      <c r="I721" s="1001">
        <v>5000</v>
      </c>
      <c r="J721" s="1001">
        <v>12</v>
      </c>
      <c r="K721" s="1001">
        <v>6000</v>
      </c>
      <c r="L721" s="1001">
        <v>12</v>
      </c>
      <c r="M721" s="1001">
        <v>7000</v>
      </c>
      <c r="N721" s="1001">
        <v>12</v>
      </c>
      <c r="O721" s="1001">
        <v>8000</v>
      </c>
      <c r="P721" s="1001">
        <v>12</v>
      </c>
      <c r="Q721" s="1001">
        <v>9000</v>
      </c>
      <c r="R721" s="1001"/>
      <c r="S721" s="1004"/>
      <c r="T721" s="1004"/>
    </row>
    <row r="722" spans="2:20" s="1003" customFormat="1" ht="38.25" x14ac:dyDescent="0.25">
      <c r="B722" s="1005" t="s">
        <v>50</v>
      </c>
      <c r="C722" s="1100" t="s">
        <v>2523</v>
      </c>
      <c r="D722" s="1025" t="s">
        <v>40</v>
      </c>
      <c r="E722" s="1001"/>
      <c r="F722" s="1001">
        <v>12</v>
      </c>
      <c r="G722" s="1001">
        <v>7500</v>
      </c>
      <c r="H722" s="1001">
        <v>12</v>
      </c>
      <c r="I722" s="1001">
        <v>6000</v>
      </c>
      <c r="J722" s="1001">
        <v>12</v>
      </c>
      <c r="K722" s="1001">
        <v>8000</v>
      </c>
      <c r="L722" s="1001">
        <v>12</v>
      </c>
      <c r="M722" s="1001">
        <v>8800</v>
      </c>
      <c r="N722" s="1001">
        <v>12</v>
      </c>
      <c r="O722" s="1001">
        <v>9500</v>
      </c>
      <c r="P722" s="1001">
        <v>12</v>
      </c>
      <c r="Q722" s="1001">
        <v>10000</v>
      </c>
      <c r="R722" s="1001"/>
      <c r="S722" s="1004"/>
      <c r="T722" s="1004"/>
    </row>
    <row r="723" spans="2:20" s="1003" customFormat="1" ht="51" x14ac:dyDescent="0.25">
      <c r="B723" s="1005" t="s">
        <v>52</v>
      </c>
      <c r="C723" s="1100" t="s">
        <v>2524</v>
      </c>
      <c r="D723" s="1025" t="s">
        <v>40</v>
      </c>
      <c r="E723" s="1001"/>
      <c r="F723" s="1001">
        <v>12</v>
      </c>
      <c r="G723" s="1001">
        <v>4009</v>
      </c>
      <c r="H723" s="1001">
        <v>12</v>
      </c>
      <c r="I723" s="1001">
        <v>3659</v>
      </c>
      <c r="J723" s="1001">
        <v>12</v>
      </c>
      <c r="K723" s="1001">
        <v>5000</v>
      </c>
      <c r="L723" s="1001">
        <v>12</v>
      </c>
      <c r="M723" s="1001">
        <v>5500</v>
      </c>
      <c r="N723" s="1001">
        <v>12</v>
      </c>
      <c r="O723" s="1001">
        <v>6000</v>
      </c>
      <c r="P723" s="1001">
        <v>12</v>
      </c>
      <c r="Q723" s="1001">
        <v>6500</v>
      </c>
      <c r="R723" s="1001"/>
      <c r="S723" s="1004"/>
      <c r="T723" s="1004"/>
    </row>
    <row r="724" spans="2:20" s="1003" customFormat="1" ht="76.5" x14ac:dyDescent="0.25">
      <c r="B724" s="1005" t="s">
        <v>782</v>
      </c>
      <c r="C724" s="1100" t="s">
        <v>2525</v>
      </c>
      <c r="D724" s="1025" t="s">
        <v>40</v>
      </c>
      <c r="E724" s="1001"/>
      <c r="F724" s="1001">
        <v>12</v>
      </c>
      <c r="G724" s="1001">
        <v>6000</v>
      </c>
      <c r="H724" s="1001">
        <v>12</v>
      </c>
      <c r="I724" s="1001">
        <v>2000</v>
      </c>
      <c r="J724" s="1001">
        <v>12</v>
      </c>
      <c r="K724" s="1001">
        <v>4000</v>
      </c>
      <c r="L724" s="1001">
        <v>12</v>
      </c>
      <c r="M724" s="1001">
        <v>6000</v>
      </c>
      <c r="N724" s="1001">
        <v>12</v>
      </c>
      <c r="O724" s="1001">
        <v>6500</v>
      </c>
      <c r="P724" s="1001">
        <v>12</v>
      </c>
      <c r="Q724" s="1001">
        <v>7000</v>
      </c>
      <c r="R724" s="1001"/>
      <c r="S724" s="1004"/>
      <c r="T724" s="1004"/>
    </row>
    <row r="725" spans="2:20" s="1003" customFormat="1" ht="63.75" x14ac:dyDescent="0.25">
      <c r="B725" s="1005" t="s">
        <v>3232</v>
      </c>
      <c r="C725" s="1100" t="s">
        <v>2526</v>
      </c>
      <c r="D725" s="1025" t="s">
        <v>40</v>
      </c>
      <c r="E725" s="1001"/>
      <c r="F725" s="1001">
        <v>12</v>
      </c>
      <c r="G725" s="1001">
        <v>1800</v>
      </c>
      <c r="H725" s="1001">
        <v>12</v>
      </c>
      <c r="I725" s="1001">
        <v>2000</v>
      </c>
      <c r="J725" s="1001">
        <v>12</v>
      </c>
      <c r="K725" s="1001">
        <v>3000</v>
      </c>
      <c r="L725" s="1001">
        <v>12</v>
      </c>
      <c r="M725" s="1001">
        <v>3500</v>
      </c>
      <c r="N725" s="1001">
        <v>12</v>
      </c>
      <c r="O725" s="1001">
        <v>3500</v>
      </c>
      <c r="P725" s="1001">
        <v>12</v>
      </c>
      <c r="Q725" s="1001">
        <v>4000</v>
      </c>
      <c r="R725" s="1001"/>
      <c r="S725" s="1004"/>
      <c r="T725" s="1004"/>
    </row>
    <row r="726" spans="2:20" s="1003" customFormat="1" ht="38.25" x14ac:dyDescent="0.25">
      <c r="B726" s="1005" t="s">
        <v>58</v>
      </c>
      <c r="C726" s="1100" t="s">
        <v>2527</v>
      </c>
      <c r="D726" s="1025" t="s">
        <v>40</v>
      </c>
      <c r="E726" s="1001"/>
      <c r="F726" s="1001">
        <v>12</v>
      </c>
      <c r="G726" s="1001">
        <v>9000</v>
      </c>
      <c r="H726" s="1001">
        <v>12</v>
      </c>
      <c r="I726" s="1001">
        <v>7000</v>
      </c>
      <c r="J726" s="1001">
        <v>12</v>
      </c>
      <c r="K726" s="1001">
        <v>8000</v>
      </c>
      <c r="L726" s="1001">
        <v>12</v>
      </c>
      <c r="M726" s="1001">
        <v>12000</v>
      </c>
      <c r="N726" s="1001">
        <v>12</v>
      </c>
      <c r="O726" s="1001">
        <v>13000</v>
      </c>
      <c r="P726" s="1001">
        <v>12</v>
      </c>
      <c r="Q726" s="1001">
        <v>14000</v>
      </c>
      <c r="R726" s="1001"/>
      <c r="S726" s="1004"/>
      <c r="T726" s="1004"/>
    </row>
    <row r="727" spans="2:20" s="1003" customFormat="1" ht="51" x14ac:dyDescent="0.25">
      <c r="B727" s="1005" t="s">
        <v>3233</v>
      </c>
      <c r="C727" s="1100" t="s">
        <v>2529</v>
      </c>
      <c r="D727" s="1025" t="s">
        <v>40</v>
      </c>
      <c r="E727" s="1001"/>
      <c r="F727" s="1001">
        <v>12</v>
      </c>
      <c r="G727" s="1001">
        <v>12000</v>
      </c>
      <c r="H727" s="1001">
        <v>12</v>
      </c>
      <c r="I727" s="1001">
        <v>12000</v>
      </c>
      <c r="J727" s="1001">
        <v>12</v>
      </c>
      <c r="K727" s="1001">
        <v>13000</v>
      </c>
      <c r="L727" s="1001">
        <v>12</v>
      </c>
      <c r="M727" s="1001">
        <v>15700</v>
      </c>
      <c r="N727" s="1001">
        <v>12</v>
      </c>
      <c r="O727" s="1001">
        <v>16000</v>
      </c>
      <c r="P727" s="1001">
        <v>12</v>
      </c>
      <c r="Q727" s="1001">
        <v>17000</v>
      </c>
      <c r="R727" s="1001"/>
      <c r="S727" s="1004"/>
      <c r="T727" s="1004"/>
    </row>
    <row r="728" spans="2:20" s="1003" customFormat="1" ht="51" x14ac:dyDescent="0.25">
      <c r="B728" s="1102" t="s">
        <v>137</v>
      </c>
      <c r="C728" s="1100" t="s">
        <v>2528</v>
      </c>
      <c r="D728" s="1025" t="s">
        <v>40</v>
      </c>
      <c r="E728" s="1001"/>
      <c r="F728" s="1001">
        <v>12</v>
      </c>
      <c r="G728" s="1001">
        <v>1000</v>
      </c>
      <c r="H728" s="1001">
        <v>12</v>
      </c>
      <c r="I728" s="1001">
        <v>1500</v>
      </c>
      <c r="J728" s="1001">
        <v>12</v>
      </c>
      <c r="K728" s="1001">
        <v>2000</v>
      </c>
      <c r="L728" s="1001">
        <v>12</v>
      </c>
      <c r="M728" s="1001">
        <v>2000</v>
      </c>
      <c r="N728" s="1001">
        <v>12</v>
      </c>
      <c r="O728" s="1001">
        <v>2500</v>
      </c>
      <c r="P728" s="1001">
        <v>12</v>
      </c>
      <c r="Q728" s="1001">
        <v>3000</v>
      </c>
      <c r="R728" s="1001"/>
      <c r="S728" s="1004"/>
      <c r="T728" s="1004"/>
    </row>
    <row r="729" spans="2:20" s="1003" customFormat="1" ht="38.25" customHeight="1" x14ac:dyDescent="0.25">
      <c r="B729" s="1061" t="s">
        <v>65</v>
      </c>
      <c r="C729" s="999" t="s">
        <v>3234</v>
      </c>
      <c r="D729" s="1015" t="s">
        <v>19</v>
      </c>
      <c r="E729" s="1001">
        <v>70</v>
      </c>
      <c r="F729" s="1001">
        <v>3</v>
      </c>
      <c r="G729" s="2114">
        <f>SUM(G731:G737)</f>
        <v>34700</v>
      </c>
      <c r="H729" s="1001">
        <v>2</v>
      </c>
      <c r="I729" s="2114">
        <f>SUM(I731:I737)</f>
        <v>37500</v>
      </c>
      <c r="J729" s="1001">
        <v>3</v>
      </c>
      <c r="K729" s="2114">
        <f>SUM(K731:K737)</f>
        <v>45000</v>
      </c>
      <c r="L729" s="1001">
        <v>2</v>
      </c>
      <c r="M729" s="2114">
        <f>SUM(M731:M737)</f>
        <v>44000</v>
      </c>
      <c r="N729" s="1001">
        <v>3</v>
      </c>
      <c r="O729" s="2114">
        <f>SUM(O731:O737)</f>
        <v>61500</v>
      </c>
      <c r="P729" s="1001">
        <v>2</v>
      </c>
      <c r="Q729" s="2114">
        <f>SUM(Q731:Q737)</f>
        <v>38000</v>
      </c>
      <c r="R729" s="1001">
        <f>E729+F729+H729+J729+L729+N729</f>
        <v>83</v>
      </c>
      <c r="S729" s="1004"/>
      <c r="T729" s="1004"/>
    </row>
    <row r="730" spans="2:20" s="1003" customFormat="1" ht="38.25" x14ac:dyDescent="0.25">
      <c r="B730" s="1067"/>
      <c r="C730" s="999" t="s">
        <v>3235</v>
      </c>
      <c r="D730" s="1015" t="s">
        <v>19</v>
      </c>
      <c r="E730" s="1001">
        <v>100</v>
      </c>
      <c r="F730" s="1001">
        <v>100</v>
      </c>
      <c r="G730" s="2114"/>
      <c r="H730" s="1001">
        <v>100</v>
      </c>
      <c r="I730" s="2114"/>
      <c r="J730" s="1001">
        <v>100</v>
      </c>
      <c r="K730" s="2114"/>
      <c r="L730" s="1001">
        <v>100</v>
      </c>
      <c r="M730" s="2114"/>
      <c r="N730" s="1001">
        <v>100</v>
      </c>
      <c r="O730" s="2114"/>
      <c r="P730" s="1001">
        <v>100</v>
      </c>
      <c r="Q730" s="2114"/>
      <c r="R730" s="1001">
        <v>100</v>
      </c>
      <c r="S730" s="1004"/>
      <c r="T730" s="1004"/>
    </row>
    <row r="731" spans="2:20" s="1003" customFormat="1" ht="38.25" x14ac:dyDescent="0.25">
      <c r="B731" s="1007" t="s">
        <v>144</v>
      </c>
      <c r="C731" s="999" t="s">
        <v>3408</v>
      </c>
      <c r="D731" s="1015" t="s">
        <v>69</v>
      </c>
      <c r="E731" s="1001"/>
      <c r="F731" s="1001">
        <v>2</v>
      </c>
      <c r="G731" s="1001"/>
      <c r="H731" s="1001">
        <v>2</v>
      </c>
      <c r="I731" s="1001"/>
      <c r="J731" s="1001">
        <v>2</v>
      </c>
      <c r="K731" s="1001"/>
      <c r="L731" s="1001">
        <v>2</v>
      </c>
      <c r="M731" s="1001"/>
      <c r="N731" s="1001">
        <v>2</v>
      </c>
      <c r="O731" s="1001"/>
      <c r="P731" s="1001">
        <v>2</v>
      </c>
      <c r="Q731" s="1001"/>
      <c r="R731" s="1001"/>
      <c r="S731" s="1004"/>
      <c r="T731" s="1004"/>
    </row>
    <row r="732" spans="2:20" s="1003" customFormat="1" ht="25.5" x14ac:dyDescent="0.25">
      <c r="B732" s="998" t="s">
        <v>3236</v>
      </c>
      <c r="C732" s="1000" t="s">
        <v>3409</v>
      </c>
      <c r="D732" s="1025" t="s">
        <v>75</v>
      </c>
      <c r="E732" s="1001"/>
      <c r="F732" s="1001">
        <v>0</v>
      </c>
      <c r="G732" s="1001">
        <v>0</v>
      </c>
      <c r="H732" s="1001">
        <v>3</v>
      </c>
      <c r="I732" s="1001">
        <v>7000</v>
      </c>
      <c r="J732" s="1001">
        <v>3</v>
      </c>
      <c r="K732" s="1001">
        <v>10000</v>
      </c>
      <c r="L732" s="1001">
        <v>0</v>
      </c>
      <c r="M732" s="1001">
        <v>0</v>
      </c>
      <c r="N732" s="1001">
        <v>4</v>
      </c>
      <c r="O732" s="1001">
        <v>12000</v>
      </c>
      <c r="P732" s="1001">
        <v>0</v>
      </c>
      <c r="Q732" s="1001">
        <v>0</v>
      </c>
      <c r="R732" s="1001"/>
      <c r="S732" s="1004"/>
      <c r="T732" s="1004"/>
    </row>
    <row r="733" spans="2:20" s="1003" customFormat="1" ht="25.5" x14ac:dyDescent="0.25">
      <c r="B733" s="998" t="s">
        <v>3493</v>
      </c>
      <c r="C733" s="1037" t="s">
        <v>3494</v>
      </c>
      <c r="D733" s="1025"/>
      <c r="E733" s="1001"/>
      <c r="F733" s="1001">
        <v>2</v>
      </c>
      <c r="G733" s="1001">
        <v>5000</v>
      </c>
      <c r="H733" s="1001">
        <v>0</v>
      </c>
      <c r="I733" s="1001">
        <v>0</v>
      </c>
      <c r="J733" s="1001">
        <v>0</v>
      </c>
      <c r="K733" s="1001">
        <v>0</v>
      </c>
      <c r="L733" s="1001">
        <v>2</v>
      </c>
      <c r="M733" s="1001">
        <v>10000</v>
      </c>
      <c r="N733" s="1001">
        <v>3</v>
      </c>
      <c r="O733" s="1001">
        <v>15000</v>
      </c>
      <c r="P733" s="1001">
        <v>0</v>
      </c>
      <c r="Q733" s="1001">
        <v>0</v>
      </c>
      <c r="R733" s="1001"/>
      <c r="S733" s="1004"/>
      <c r="T733" s="1004"/>
    </row>
    <row r="734" spans="2:20" s="1003" customFormat="1" ht="25.5" x14ac:dyDescent="0.25">
      <c r="B734" s="998" t="s">
        <v>3238</v>
      </c>
      <c r="C734" s="1000" t="s">
        <v>3495</v>
      </c>
      <c r="D734" s="1025" t="s">
        <v>75</v>
      </c>
      <c r="E734" s="1001"/>
      <c r="F734" s="1001">
        <v>1</v>
      </c>
      <c r="G734" s="1001">
        <v>3200</v>
      </c>
      <c r="H734" s="1001">
        <v>1</v>
      </c>
      <c r="I734" s="1001">
        <v>4000</v>
      </c>
      <c r="J734" s="1001">
        <v>1</v>
      </c>
      <c r="K734" s="1001">
        <v>4000</v>
      </c>
      <c r="L734" s="1001">
        <v>0</v>
      </c>
      <c r="M734" s="1001">
        <v>0</v>
      </c>
      <c r="N734" s="1001">
        <v>0</v>
      </c>
      <c r="O734" s="1001">
        <v>0</v>
      </c>
      <c r="P734" s="1001">
        <v>0</v>
      </c>
      <c r="Q734" s="1001">
        <v>0</v>
      </c>
      <c r="R734" s="1001"/>
      <c r="S734" s="1004"/>
      <c r="T734" s="1004"/>
    </row>
    <row r="735" spans="2:20" s="1003" customFormat="1" ht="38.25" x14ac:dyDescent="0.25">
      <c r="B735" s="1007" t="s">
        <v>3240</v>
      </c>
      <c r="C735" s="999" t="s">
        <v>3241</v>
      </c>
      <c r="D735" s="1015" t="s">
        <v>40</v>
      </c>
      <c r="E735" s="1001"/>
      <c r="F735" s="1001">
        <v>12</v>
      </c>
      <c r="G735" s="1001">
        <v>3000</v>
      </c>
      <c r="H735" s="1001">
        <v>12</v>
      </c>
      <c r="I735" s="1001">
        <v>2500</v>
      </c>
      <c r="J735" s="1001">
        <v>12</v>
      </c>
      <c r="K735" s="1001">
        <v>3000</v>
      </c>
      <c r="L735" s="1001">
        <v>12</v>
      </c>
      <c r="M735" s="1001">
        <v>4500</v>
      </c>
      <c r="N735" s="1001">
        <v>12</v>
      </c>
      <c r="O735" s="1001">
        <v>4500</v>
      </c>
      <c r="P735" s="1001">
        <v>12</v>
      </c>
      <c r="Q735" s="1001">
        <v>5000</v>
      </c>
      <c r="R735" s="1001"/>
      <c r="S735" s="1004"/>
      <c r="T735" s="1004"/>
    </row>
    <row r="736" spans="2:20" s="1003" customFormat="1" ht="38.25" x14ac:dyDescent="0.25">
      <c r="B736" s="1007" t="s">
        <v>3242</v>
      </c>
      <c r="C736" s="999" t="s">
        <v>3160</v>
      </c>
      <c r="D736" s="1015" t="s">
        <v>40</v>
      </c>
      <c r="E736" s="1001"/>
      <c r="F736" s="1001">
        <v>12</v>
      </c>
      <c r="G736" s="1001">
        <v>23500</v>
      </c>
      <c r="H736" s="1001">
        <v>12</v>
      </c>
      <c r="I736" s="1001">
        <v>21000</v>
      </c>
      <c r="J736" s="1001">
        <v>12</v>
      </c>
      <c r="K736" s="1001">
        <v>24000</v>
      </c>
      <c r="L736" s="1001">
        <v>12</v>
      </c>
      <c r="M736" s="1001">
        <v>25000</v>
      </c>
      <c r="N736" s="1001">
        <v>12</v>
      </c>
      <c r="O736" s="1001">
        <v>25000</v>
      </c>
      <c r="P736" s="1001">
        <v>12</v>
      </c>
      <c r="Q736" s="1001">
        <v>26000</v>
      </c>
      <c r="R736" s="1001"/>
      <c r="S736" s="1004"/>
      <c r="T736" s="1004"/>
    </row>
    <row r="737" spans="2:20" s="1003" customFormat="1" ht="38.25" x14ac:dyDescent="0.25">
      <c r="B737" s="1007" t="s">
        <v>3243</v>
      </c>
      <c r="C737" s="999" t="s">
        <v>3244</v>
      </c>
      <c r="D737" s="1015" t="s">
        <v>40</v>
      </c>
      <c r="E737" s="1001"/>
      <c r="F737" s="1001">
        <v>0</v>
      </c>
      <c r="G737" s="1001">
        <v>0</v>
      </c>
      <c r="H737" s="1001">
        <v>12</v>
      </c>
      <c r="I737" s="1001">
        <v>3000</v>
      </c>
      <c r="J737" s="1001">
        <v>12</v>
      </c>
      <c r="K737" s="1001">
        <v>4000</v>
      </c>
      <c r="L737" s="1001">
        <v>12</v>
      </c>
      <c r="M737" s="1001">
        <v>4500</v>
      </c>
      <c r="N737" s="1001">
        <v>12</v>
      </c>
      <c r="O737" s="1001">
        <v>5000</v>
      </c>
      <c r="P737" s="1001">
        <v>12</v>
      </c>
      <c r="Q737" s="1001">
        <v>7000</v>
      </c>
      <c r="R737" s="1001"/>
      <c r="S737" s="1004"/>
      <c r="T737" s="1004"/>
    </row>
    <row r="738" spans="2:20" s="1003" customFormat="1" ht="63.75" x14ac:dyDescent="0.25">
      <c r="B738" s="1106" t="s">
        <v>3245</v>
      </c>
      <c r="C738" s="1000" t="s">
        <v>3246</v>
      </c>
      <c r="D738" s="1025" t="s">
        <v>79</v>
      </c>
      <c r="E738" s="1001">
        <v>10</v>
      </c>
      <c r="F738" s="1001">
        <f>F739</f>
        <v>2</v>
      </c>
      <c r="G738" s="1001">
        <f>G739</f>
        <v>4000</v>
      </c>
      <c r="H738" s="1001">
        <f t="shared" ref="H738:Q738" si="70">H739</f>
        <v>2</v>
      </c>
      <c r="I738" s="1001">
        <f t="shared" si="70"/>
        <v>4000</v>
      </c>
      <c r="J738" s="1001">
        <f t="shared" si="70"/>
        <v>2</v>
      </c>
      <c r="K738" s="1001">
        <f t="shared" si="70"/>
        <v>5000</v>
      </c>
      <c r="L738" s="1001">
        <f t="shared" si="70"/>
        <v>2</v>
      </c>
      <c r="M738" s="1001">
        <f t="shared" si="70"/>
        <v>5000</v>
      </c>
      <c r="N738" s="1001">
        <f t="shared" si="70"/>
        <v>2</v>
      </c>
      <c r="O738" s="1001">
        <f t="shared" si="70"/>
        <v>6000</v>
      </c>
      <c r="P738" s="1001">
        <f t="shared" si="70"/>
        <v>2</v>
      </c>
      <c r="Q738" s="1001">
        <f t="shared" si="70"/>
        <v>7500</v>
      </c>
      <c r="R738" s="1001">
        <f>E738+F738+H738+J738+L738+N738</f>
        <v>20</v>
      </c>
      <c r="S738" s="1004"/>
      <c r="T738" s="1004"/>
    </row>
    <row r="739" spans="2:20" s="1003" customFormat="1" ht="102" x14ac:dyDescent="0.25">
      <c r="B739" s="998" t="s">
        <v>80</v>
      </c>
      <c r="C739" s="1000" t="s">
        <v>3247</v>
      </c>
      <c r="D739" s="1025" t="s">
        <v>79</v>
      </c>
      <c r="E739" s="1001"/>
      <c r="F739" s="1001">
        <v>2</v>
      </c>
      <c r="G739" s="1001">
        <v>4000</v>
      </c>
      <c r="H739" s="1001">
        <v>2</v>
      </c>
      <c r="I739" s="1001">
        <v>4000</v>
      </c>
      <c r="J739" s="1001">
        <v>2</v>
      </c>
      <c r="K739" s="1001">
        <v>5000</v>
      </c>
      <c r="L739" s="1001">
        <v>2</v>
      </c>
      <c r="M739" s="1001">
        <v>5000</v>
      </c>
      <c r="N739" s="1001">
        <v>2</v>
      </c>
      <c r="O739" s="1001">
        <v>6000</v>
      </c>
      <c r="P739" s="1001">
        <v>2</v>
      </c>
      <c r="Q739" s="1001">
        <v>7500</v>
      </c>
      <c r="R739" s="1001"/>
      <c r="S739" s="1004"/>
      <c r="T739" s="1004"/>
    </row>
    <row r="740" spans="2:20" s="1003" customFormat="1" ht="48" x14ac:dyDescent="0.25">
      <c r="B740" s="1106" t="s">
        <v>3248</v>
      </c>
      <c r="C740" s="1000" t="s">
        <v>3249</v>
      </c>
      <c r="D740" s="1025" t="s">
        <v>79</v>
      </c>
      <c r="E740" s="1001">
        <v>5</v>
      </c>
      <c r="F740" s="1001">
        <v>1</v>
      </c>
      <c r="G740" s="1001">
        <f>G741</f>
        <v>4400</v>
      </c>
      <c r="H740" s="1001">
        <f t="shared" ref="H740:Q740" si="71">H741</f>
        <v>2</v>
      </c>
      <c r="I740" s="1001">
        <f t="shared" si="71"/>
        <v>4400</v>
      </c>
      <c r="J740" s="1001">
        <f t="shared" si="71"/>
        <v>2</v>
      </c>
      <c r="K740" s="1001">
        <f t="shared" si="71"/>
        <v>6000</v>
      </c>
      <c r="L740" s="1001">
        <f t="shared" si="71"/>
        <v>2</v>
      </c>
      <c r="M740" s="1001">
        <f t="shared" si="71"/>
        <v>7000</v>
      </c>
      <c r="N740" s="1001">
        <f t="shared" si="71"/>
        <v>2</v>
      </c>
      <c r="O740" s="1001">
        <f t="shared" si="71"/>
        <v>8000</v>
      </c>
      <c r="P740" s="1001">
        <f t="shared" si="71"/>
        <v>2</v>
      </c>
      <c r="Q740" s="1001">
        <f t="shared" si="71"/>
        <v>8500</v>
      </c>
      <c r="R740" s="1001">
        <f>E740+F740+H740+J740+L740+N740</f>
        <v>14</v>
      </c>
      <c r="S740" s="1004"/>
      <c r="T740" s="1004"/>
    </row>
    <row r="741" spans="2:20" s="1003" customFormat="1" ht="63.75" x14ac:dyDescent="0.25">
      <c r="B741" s="998" t="s">
        <v>1712</v>
      </c>
      <c r="C741" s="1000" t="s">
        <v>3250</v>
      </c>
      <c r="D741" s="1025"/>
      <c r="E741" s="1001"/>
      <c r="F741" s="1001">
        <v>1</v>
      </c>
      <c r="G741" s="1001">
        <v>4400</v>
      </c>
      <c r="H741" s="1001">
        <v>2</v>
      </c>
      <c r="I741" s="1001">
        <v>4400</v>
      </c>
      <c r="J741" s="1001">
        <v>2</v>
      </c>
      <c r="K741" s="1001">
        <v>6000</v>
      </c>
      <c r="L741" s="1001">
        <v>2</v>
      </c>
      <c r="M741" s="1001">
        <v>7000</v>
      </c>
      <c r="N741" s="1001">
        <v>2</v>
      </c>
      <c r="O741" s="1001">
        <v>8000</v>
      </c>
      <c r="P741" s="1001">
        <v>2</v>
      </c>
      <c r="Q741" s="1001">
        <v>8500</v>
      </c>
      <c r="R741" s="1001"/>
      <c r="S741" s="1004"/>
      <c r="T741" s="1004"/>
    </row>
    <row r="742" spans="2:20" s="1003" customFormat="1" ht="63.75" customHeight="1" x14ac:dyDescent="0.25">
      <c r="B742" s="1065" t="s">
        <v>3251</v>
      </c>
      <c r="C742" s="1000" t="s">
        <v>3252</v>
      </c>
      <c r="D742" s="1025" t="s">
        <v>79</v>
      </c>
      <c r="E742" s="1001">
        <v>5</v>
      </c>
      <c r="F742" s="1001">
        <v>1</v>
      </c>
      <c r="G742" s="2114">
        <f>SUM(G744:G745)</f>
        <v>16300</v>
      </c>
      <c r="H742" s="1001">
        <v>1</v>
      </c>
      <c r="I742" s="2114">
        <f>SUM(I744:I745)</f>
        <v>16500</v>
      </c>
      <c r="J742" s="1001">
        <v>1</v>
      </c>
      <c r="K742" s="2114">
        <f>SUM(K744:K745)</f>
        <v>21000</v>
      </c>
      <c r="L742" s="1001">
        <v>1</v>
      </c>
      <c r="M742" s="2114">
        <f>SUM(M744:M745)</f>
        <v>23000</v>
      </c>
      <c r="N742" s="1001">
        <v>1</v>
      </c>
      <c r="O742" s="2114">
        <f>SUM(O744:O745)</f>
        <v>24000</v>
      </c>
      <c r="P742" s="1001">
        <v>1</v>
      </c>
      <c r="Q742" s="2114">
        <f>SUM(Q744:Q745)</f>
        <v>25500</v>
      </c>
      <c r="R742" s="1001">
        <f>E742+F742+H742+J742+L742+N742</f>
        <v>10</v>
      </c>
      <c r="S742" s="1004"/>
      <c r="T742" s="1004"/>
    </row>
    <row r="743" spans="2:20" s="1003" customFormat="1" ht="38.25" x14ac:dyDescent="0.25">
      <c r="B743" s="1066"/>
      <c r="C743" s="1000" t="s">
        <v>3253</v>
      </c>
      <c r="D743" s="1025" t="s">
        <v>79</v>
      </c>
      <c r="E743" s="1001">
        <v>5</v>
      </c>
      <c r="F743" s="1001">
        <v>1</v>
      </c>
      <c r="G743" s="2114"/>
      <c r="H743" s="1001">
        <v>1</v>
      </c>
      <c r="I743" s="2114"/>
      <c r="J743" s="1001">
        <v>1</v>
      </c>
      <c r="K743" s="2114"/>
      <c r="L743" s="1001">
        <v>1</v>
      </c>
      <c r="M743" s="2114"/>
      <c r="N743" s="1001">
        <v>1</v>
      </c>
      <c r="O743" s="2114"/>
      <c r="P743" s="1001">
        <v>1</v>
      </c>
      <c r="Q743" s="2114"/>
      <c r="R743" s="1001">
        <f>E743+F743+H743+J743+L743+N743</f>
        <v>10</v>
      </c>
      <c r="S743" s="1004"/>
      <c r="T743" s="1004"/>
    </row>
    <row r="744" spans="2:20" s="1003" customFormat="1" ht="38.25" x14ac:dyDescent="0.25">
      <c r="B744" s="998" t="s">
        <v>3254</v>
      </c>
      <c r="C744" s="1000" t="s">
        <v>3255</v>
      </c>
      <c r="D744" s="1025" t="s">
        <v>103</v>
      </c>
      <c r="E744" s="1001"/>
      <c r="F744" s="1001">
        <v>2</v>
      </c>
      <c r="G744" s="1001">
        <v>10800</v>
      </c>
      <c r="H744" s="1001">
        <v>2</v>
      </c>
      <c r="I744" s="1001">
        <v>11000</v>
      </c>
      <c r="J744" s="1001">
        <v>2</v>
      </c>
      <c r="K744" s="1001">
        <v>13000</v>
      </c>
      <c r="L744" s="1001">
        <v>2</v>
      </c>
      <c r="M744" s="1001">
        <v>14000</v>
      </c>
      <c r="N744" s="1001">
        <v>2</v>
      </c>
      <c r="O744" s="1001">
        <v>15000</v>
      </c>
      <c r="P744" s="1001">
        <v>2</v>
      </c>
      <c r="Q744" s="1001">
        <v>16000</v>
      </c>
      <c r="R744" s="1001"/>
      <c r="S744" s="1004"/>
      <c r="T744" s="1004"/>
    </row>
    <row r="745" spans="2:20" s="1003" customFormat="1" ht="51" x14ac:dyDescent="0.25">
      <c r="B745" s="998" t="s">
        <v>3256</v>
      </c>
      <c r="C745" s="1000" t="s">
        <v>3257</v>
      </c>
      <c r="D745" s="1025" t="s">
        <v>103</v>
      </c>
      <c r="E745" s="1001"/>
      <c r="F745" s="1001">
        <v>7</v>
      </c>
      <c r="G745" s="1001">
        <v>5500</v>
      </c>
      <c r="H745" s="1001">
        <v>7</v>
      </c>
      <c r="I745" s="1001">
        <v>5500</v>
      </c>
      <c r="J745" s="1001">
        <v>7</v>
      </c>
      <c r="K745" s="1001">
        <v>8000</v>
      </c>
      <c r="L745" s="1001">
        <v>7</v>
      </c>
      <c r="M745" s="1001">
        <v>9000</v>
      </c>
      <c r="N745" s="1001">
        <v>7</v>
      </c>
      <c r="O745" s="1001">
        <v>9000</v>
      </c>
      <c r="P745" s="1001">
        <v>7</v>
      </c>
      <c r="Q745" s="1001">
        <v>9500</v>
      </c>
      <c r="R745" s="1001"/>
      <c r="S745" s="1004"/>
      <c r="T745" s="1004"/>
    </row>
    <row r="746" spans="2:20" s="1003" customFormat="1" ht="51" x14ac:dyDescent="0.25">
      <c r="B746" s="1106" t="s">
        <v>3420</v>
      </c>
      <c r="C746" s="1000" t="s">
        <v>3386</v>
      </c>
      <c r="D746" s="1025" t="s">
        <v>19</v>
      </c>
      <c r="E746" s="1001">
        <v>100</v>
      </c>
      <c r="F746" s="1001">
        <v>100</v>
      </c>
      <c r="G746" s="1001">
        <f>G747</f>
        <v>48000</v>
      </c>
      <c r="H746" s="1001">
        <v>100</v>
      </c>
      <c r="I746" s="1001">
        <f>I747</f>
        <v>49000</v>
      </c>
      <c r="J746" s="1001">
        <v>100</v>
      </c>
      <c r="K746" s="1001">
        <f>K747</f>
        <v>50000</v>
      </c>
      <c r="L746" s="1001">
        <v>100</v>
      </c>
      <c r="M746" s="1001">
        <f>M747</f>
        <v>52000</v>
      </c>
      <c r="N746" s="1001">
        <v>100</v>
      </c>
      <c r="O746" s="1001">
        <f>O747</f>
        <v>53000</v>
      </c>
      <c r="P746" s="1001">
        <v>100</v>
      </c>
      <c r="Q746" s="1001">
        <f>Q747</f>
        <v>55000</v>
      </c>
      <c r="R746" s="1001">
        <v>100</v>
      </c>
      <c r="S746" s="1004"/>
      <c r="T746" s="1004"/>
    </row>
    <row r="747" spans="2:20" s="1003" customFormat="1" ht="25.5" x14ac:dyDescent="0.25">
      <c r="B747" s="998" t="s">
        <v>3421</v>
      </c>
      <c r="C747" s="1000" t="s">
        <v>3422</v>
      </c>
      <c r="D747" s="1025" t="s">
        <v>40</v>
      </c>
      <c r="E747" s="1001"/>
      <c r="F747" s="1001">
        <v>12</v>
      </c>
      <c r="G747" s="1001">
        <v>48000</v>
      </c>
      <c r="H747" s="1001">
        <v>12</v>
      </c>
      <c r="I747" s="1001">
        <v>49000</v>
      </c>
      <c r="J747" s="1001">
        <v>12</v>
      </c>
      <c r="K747" s="1001">
        <v>50000</v>
      </c>
      <c r="L747" s="1001">
        <v>12</v>
      </c>
      <c r="M747" s="1001">
        <v>52000</v>
      </c>
      <c r="N747" s="1001">
        <v>12</v>
      </c>
      <c r="O747" s="1001">
        <v>53000</v>
      </c>
      <c r="P747" s="1001">
        <v>12</v>
      </c>
      <c r="Q747" s="1001">
        <v>55000</v>
      </c>
      <c r="R747" s="1001"/>
      <c r="S747" s="1004"/>
      <c r="T747" s="1004"/>
    </row>
    <row r="748" spans="2:20" s="1003" customFormat="1" ht="84" x14ac:dyDescent="0.25">
      <c r="B748" s="1106" t="s">
        <v>1743</v>
      </c>
      <c r="C748" s="1000" t="s">
        <v>3265</v>
      </c>
      <c r="D748" s="1025" t="s">
        <v>19</v>
      </c>
      <c r="E748" s="1001">
        <v>50</v>
      </c>
      <c r="F748" s="1001">
        <v>60</v>
      </c>
      <c r="G748" s="1001">
        <f>SUM(G749:G751)</f>
        <v>21300</v>
      </c>
      <c r="H748" s="1001">
        <v>70</v>
      </c>
      <c r="I748" s="1001">
        <f>SUM(I749:I751)</f>
        <v>15000</v>
      </c>
      <c r="J748" s="1001">
        <v>80</v>
      </c>
      <c r="K748" s="1001">
        <f>SUM(K749:K751)</f>
        <v>31000</v>
      </c>
      <c r="L748" s="1001">
        <v>90</v>
      </c>
      <c r="M748" s="1001">
        <f>SUM(M749:M751)</f>
        <v>35000</v>
      </c>
      <c r="N748" s="1001">
        <v>100</v>
      </c>
      <c r="O748" s="1001">
        <f>SUM(O749:O751)</f>
        <v>37500</v>
      </c>
      <c r="P748" s="1001">
        <v>100</v>
      </c>
      <c r="Q748" s="1001">
        <f>SUM(Q749:Q751)</f>
        <v>37500</v>
      </c>
      <c r="R748" s="1001">
        <v>100</v>
      </c>
      <c r="S748" s="1004"/>
      <c r="T748" s="1004"/>
    </row>
    <row r="749" spans="2:20" s="1003" customFormat="1" ht="25.5" x14ac:dyDescent="0.25">
      <c r="B749" s="998" t="s">
        <v>3266</v>
      </c>
      <c r="C749" s="1000" t="s">
        <v>3267</v>
      </c>
      <c r="D749" s="1025" t="s">
        <v>103</v>
      </c>
      <c r="E749" s="1001"/>
      <c r="F749" s="1001">
        <v>7</v>
      </c>
      <c r="G749" s="1001">
        <v>21300</v>
      </c>
      <c r="H749" s="1001">
        <v>7</v>
      </c>
      <c r="I749" s="1001">
        <v>11000</v>
      </c>
      <c r="J749" s="1001">
        <v>7</v>
      </c>
      <c r="K749" s="1001">
        <v>12000</v>
      </c>
      <c r="L749" s="1001">
        <v>7</v>
      </c>
      <c r="M749" s="1001">
        <v>13000</v>
      </c>
      <c r="N749" s="1001">
        <v>7</v>
      </c>
      <c r="O749" s="1001">
        <v>13500</v>
      </c>
      <c r="P749" s="1001">
        <v>7</v>
      </c>
      <c r="Q749" s="1001">
        <v>13000</v>
      </c>
      <c r="R749" s="1001"/>
      <c r="S749" s="1004"/>
      <c r="T749" s="1004"/>
    </row>
    <row r="750" spans="2:20" s="1003" customFormat="1" ht="76.5" x14ac:dyDescent="0.25">
      <c r="B750" s="998" t="s">
        <v>3390</v>
      </c>
      <c r="C750" s="1000" t="s">
        <v>3273</v>
      </c>
      <c r="D750" s="1025" t="s">
        <v>103</v>
      </c>
      <c r="E750" s="1001"/>
      <c r="F750" s="1001">
        <v>0</v>
      </c>
      <c r="G750" s="1001">
        <v>0</v>
      </c>
      <c r="H750" s="1001">
        <v>0</v>
      </c>
      <c r="I750" s="1001">
        <v>0</v>
      </c>
      <c r="J750" s="1001">
        <v>7</v>
      </c>
      <c r="K750" s="1001">
        <v>19000</v>
      </c>
      <c r="L750" s="1001">
        <v>7</v>
      </c>
      <c r="M750" s="1001">
        <v>22000</v>
      </c>
      <c r="N750" s="1001">
        <v>7</v>
      </c>
      <c r="O750" s="1001">
        <v>24000</v>
      </c>
      <c r="P750" s="1001">
        <v>7</v>
      </c>
      <c r="Q750" s="1001">
        <v>24500</v>
      </c>
      <c r="R750" s="1001"/>
      <c r="S750" s="1004"/>
      <c r="T750" s="1004"/>
    </row>
    <row r="751" spans="2:20" s="1003" customFormat="1" ht="38.25" x14ac:dyDescent="0.25">
      <c r="B751" s="998" t="s">
        <v>1752</v>
      </c>
      <c r="C751" s="1000"/>
      <c r="D751" s="1025"/>
      <c r="E751" s="1001">
        <v>0</v>
      </c>
      <c r="F751" s="1001">
        <v>0</v>
      </c>
      <c r="G751" s="1001">
        <v>0</v>
      </c>
      <c r="H751" s="1001">
        <v>0</v>
      </c>
      <c r="I751" s="1001">
        <v>4000</v>
      </c>
      <c r="J751" s="1001">
        <v>0</v>
      </c>
      <c r="K751" s="1001">
        <v>0</v>
      </c>
      <c r="L751" s="1001">
        <v>0</v>
      </c>
      <c r="M751" s="1001">
        <v>0</v>
      </c>
      <c r="N751" s="1001">
        <v>0</v>
      </c>
      <c r="O751" s="1001">
        <v>0</v>
      </c>
      <c r="P751" s="1001">
        <v>0</v>
      </c>
      <c r="Q751" s="1001">
        <v>0</v>
      </c>
      <c r="R751" s="1001"/>
      <c r="S751" s="1004"/>
      <c r="T751" s="1004"/>
    </row>
    <row r="752" spans="2:20" s="1003" customFormat="1" ht="76.5" customHeight="1" x14ac:dyDescent="0.25">
      <c r="B752" s="1063" t="s">
        <v>3425</v>
      </c>
      <c r="C752" s="1000" t="s">
        <v>3274</v>
      </c>
      <c r="D752" s="1025" t="s">
        <v>79</v>
      </c>
      <c r="E752" s="1001">
        <v>1</v>
      </c>
      <c r="F752" s="1001">
        <v>1</v>
      </c>
      <c r="G752" s="1001">
        <f>G753</f>
        <v>3300</v>
      </c>
      <c r="H752" s="1001">
        <v>1</v>
      </c>
      <c r="I752" s="1001">
        <f>I753</f>
        <v>3300</v>
      </c>
      <c r="J752" s="1001">
        <v>1</v>
      </c>
      <c r="K752" s="1001">
        <f>K753</f>
        <v>3500</v>
      </c>
      <c r="L752" s="1001">
        <v>1</v>
      </c>
      <c r="M752" s="1001">
        <f>M753</f>
        <v>4500</v>
      </c>
      <c r="N752" s="1001">
        <v>1</v>
      </c>
      <c r="O752" s="1001">
        <f>O753</f>
        <v>5000</v>
      </c>
      <c r="P752" s="1001">
        <v>1</v>
      </c>
      <c r="Q752" s="1001">
        <f>Q753</f>
        <v>5000</v>
      </c>
      <c r="R752" s="1001">
        <f>E752+F752+H752+J752+L752+N752</f>
        <v>6</v>
      </c>
      <c r="S752" s="1004"/>
      <c r="T752" s="1004"/>
    </row>
    <row r="753" spans="2:20" s="1003" customFormat="1" ht="25.5" x14ac:dyDescent="0.25">
      <c r="B753" s="1008" t="s">
        <v>3277</v>
      </c>
      <c r="C753" s="1000" t="s">
        <v>3278</v>
      </c>
      <c r="D753" s="1025" t="s">
        <v>103</v>
      </c>
      <c r="E753" s="1001"/>
      <c r="F753" s="1001">
        <v>12</v>
      </c>
      <c r="G753" s="1001">
        <v>3300</v>
      </c>
      <c r="H753" s="1001">
        <v>12</v>
      </c>
      <c r="I753" s="1001">
        <v>3300</v>
      </c>
      <c r="J753" s="1001">
        <v>12</v>
      </c>
      <c r="K753" s="1001">
        <v>3500</v>
      </c>
      <c r="L753" s="1001">
        <v>12</v>
      </c>
      <c r="M753" s="1001">
        <v>4500</v>
      </c>
      <c r="N753" s="1001">
        <v>12</v>
      </c>
      <c r="O753" s="1001">
        <v>5000</v>
      </c>
      <c r="P753" s="1001">
        <v>12</v>
      </c>
      <c r="Q753" s="1001">
        <v>5000</v>
      </c>
      <c r="R753" s="1001"/>
      <c r="S753" s="1004"/>
      <c r="T753" s="1004"/>
    </row>
    <row r="754" spans="2:20" s="1003" customFormat="1" ht="63.75" customHeight="1" x14ac:dyDescent="0.25">
      <c r="B754" s="1063" t="s">
        <v>3280</v>
      </c>
      <c r="C754" s="1000" t="s">
        <v>3279</v>
      </c>
      <c r="D754" s="1025" t="s">
        <v>327</v>
      </c>
      <c r="E754" s="1001">
        <v>16</v>
      </c>
      <c r="F754" s="1001">
        <v>20</v>
      </c>
      <c r="G754" s="1001">
        <f>SUM(G755:G756)</f>
        <v>7000</v>
      </c>
      <c r="H754" s="1001">
        <v>24</v>
      </c>
      <c r="I754" s="1001">
        <f>SUM(I755:I756)</f>
        <v>8500</v>
      </c>
      <c r="J754" s="1001">
        <v>28</v>
      </c>
      <c r="K754" s="1001">
        <f>SUM(K755:K756)</f>
        <v>10000</v>
      </c>
      <c r="L754" s="1001">
        <v>32</v>
      </c>
      <c r="M754" s="1001">
        <f>SUM(M755:M756)</f>
        <v>12500</v>
      </c>
      <c r="N754" s="1001">
        <v>36</v>
      </c>
      <c r="O754" s="1001">
        <f>SUM(O755:O756)</f>
        <v>14000</v>
      </c>
      <c r="P754" s="1001">
        <v>40</v>
      </c>
      <c r="Q754" s="1001">
        <f>SUM(Q755:Q756)</f>
        <v>14500</v>
      </c>
      <c r="R754" s="1001">
        <f>N754</f>
        <v>36</v>
      </c>
      <c r="S754" s="1004"/>
      <c r="T754" s="1004"/>
    </row>
    <row r="755" spans="2:20" s="1003" customFormat="1" ht="38.25" x14ac:dyDescent="0.25">
      <c r="B755" s="1008" t="s">
        <v>1298</v>
      </c>
      <c r="C755" s="1000" t="s">
        <v>3281</v>
      </c>
      <c r="D755" s="1025" t="s">
        <v>327</v>
      </c>
      <c r="E755" s="1001"/>
      <c r="F755" s="1001">
        <v>11</v>
      </c>
      <c r="G755" s="1001">
        <v>3000</v>
      </c>
      <c r="H755" s="1001">
        <v>11</v>
      </c>
      <c r="I755" s="1001">
        <v>4000</v>
      </c>
      <c r="J755" s="1001">
        <v>11</v>
      </c>
      <c r="K755" s="1001">
        <v>5000</v>
      </c>
      <c r="L755" s="1001">
        <v>11</v>
      </c>
      <c r="M755" s="1001">
        <v>5500</v>
      </c>
      <c r="N755" s="1001">
        <v>11</v>
      </c>
      <c r="O755" s="1001">
        <v>6000</v>
      </c>
      <c r="P755" s="1001">
        <v>11</v>
      </c>
      <c r="Q755" s="1001">
        <v>6500</v>
      </c>
      <c r="R755" s="1001"/>
      <c r="S755" s="1004"/>
      <c r="T755" s="1004"/>
    </row>
    <row r="756" spans="2:20" s="1003" customFormat="1" ht="38.25" x14ac:dyDescent="0.25">
      <c r="B756" s="1008" t="s">
        <v>3282</v>
      </c>
      <c r="C756" s="1000" t="s">
        <v>3283</v>
      </c>
      <c r="D756" s="1025" t="s">
        <v>327</v>
      </c>
      <c r="E756" s="1001"/>
      <c r="F756" s="1001">
        <v>15</v>
      </c>
      <c r="G756" s="1001">
        <v>4000</v>
      </c>
      <c r="H756" s="1001">
        <v>15</v>
      </c>
      <c r="I756" s="1001">
        <v>4500</v>
      </c>
      <c r="J756" s="1001">
        <v>10</v>
      </c>
      <c r="K756" s="1001">
        <v>5000</v>
      </c>
      <c r="L756" s="1001">
        <v>15</v>
      </c>
      <c r="M756" s="1001">
        <v>7000</v>
      </c>
      <c r="N756" s="1001">
        <v>15</v>
      </c>
      <c r="O756" s="1001">
        <v>8000</v>
      </c>
      <c r="P756" s="1001">
        <v>15</v>
      </c>
      <c r="Q756" s="1001">
        <v>8000</v>
      </c>
      <c r="R756" s="1001"/>
      <c r="S756" s="1004"/>
      <c r="T756" s="1004"/>
    </row>
    <row r="757" spans="2:20" s="1003" customFormat="1" ht="60" x14ac:dyDescent="0.25">
      <c r="B757" s="1106" t="s">
        <v>3284</v>
      </c>
      <c r="C757" s="1009" t="s">
        <v>3285</v>
      </c>
      <c r="D757" s="1025" t="s">
        <v>364</v>
      </c>
      <c r="E757" s="1001">
        <v>100</v>
      </c>
      <c r="F757" s="1001">
        <v>0</v>
      </c>
      <c r="G757" s="1001">
        <v>0</v>
      </c>
      <c r="H757" s="1001">
        <v>44</v>
      </c>
      <c r="I757" s="1001">
        <v>4000</v>
      </c>
      <c r="J757" s="1001">
        <v>33</v>
      </c>
      <c r="K757" s="1001">
        <f>K758</f>
        <v>5000</v>
      </c>
      <c r="L757" s="1001">
        <v>33</v>
      </c>
      <c r="M757" s="1001">
        <f>M758</f>
        <v>5500</v>
      </c>
      <c r="N757" s="1001">
        <v>33</v>
      </c>
      <c r="O757" s="1001">
        <f>O758</f>
        <v>6000</v>
      </c>
      <c r="P757" s="1001">
        <v>33</v>
      </c>
      <c r="Q757" s="1001">
        <f>Q758</f>
        <v>6500</v>
      </c>
      <c r="R757" s="1001">
        <f>N757</f>
        <v>33</v>
      </c>
      <c r="S757" s="1004"/>
      <c r="T757" s="1004"/>
    </row>
    <row r="758" spans="2:20" s="1003" customFormat="1" ht="63.75" x14ac:dyDescent="0.25">
      <c r="B758" s="998" t="s">
        <v>3286</v>
      </c>
      <c r="C758" s="1009" t="s">
        <v>3287</v>
      </c>
      <c r="D758" s="1025" t="s">
        <v>100</v>
      </c>
      <c r="E758" s="1001"/>
      <c r="F758" s="1001">
        <v>0</v>
      </c>
      <c r="G758" s="1001">
        <v>0</v>
      </c>
      <c r="H758" s="1001">
        <v>44</v>
      </c>
      <c r="I758" s="1001">
        <v>4000</v>
      </c>
      <c r="J758" s="1001">
        <v>33</v>
      </c>
      <c r="K758" s="1001">
        <v>5000</v>
      </c>
      <c r="L758" s="1001">
        <v>33</v>
      </c>
      <c r="M758" s="1001">
        <v>5500</v>
      </c>
      <c r="N758" s="1001">
        <v>33</v>
      </c>
      <c r="O758" s="1001">
        <v>6000</v>
      </c>
      <c r="P758" s="1001">
        <v>33</v>
      </c>
      <c r="Q758" s="1001">
        <v>6500</v>
      </c>
      <c r="R758" s="1001"/>
      <c r="S758" s="1004"/>
      <c r="T758" s="1004"/>
    </row>
    <row r="759" spans="2:20" s="1003" customFormat="1" ht="48" x14ac:dyDescent="0.25">
      <c r="B759" s="1106" t="s">
        <v>3289</v>
      </c>
      <c r="C759" s="1009" t="s">
        <v>3288</v>
      </c>
      <c r="D759" s="1025" t="s">
        <v>100</v>
      </c>
      <c r="E759" s="1001">
        <v>30</v>
      </c>
      <c r="F759" s="1001">
        <f>F760</f>
        <v>50</v>
      </c>
      <c r="G759" s="1001">
        <f t="shared" ref="G759:Q759" si="72">G760</f>
        <v>12000</v>
      </c>
      <c r="H759" s="1001">
        <f t="shared" si="72"/>
        <v>50</v>
      </c>
      <c r="I759" s="1001">
        <f t="shared" si="72"/>
        <v>11500</v>
      </c>
      <c r="J759" s="1001">
        <f t="shared" si="72"/>
        <v>50</v>
      </c>
      <c r="K759" s="1001">
        <f t="shared" si="72"/>
        <v>12000</v>
      </c>
      <c r="L759" s="1001">
        <f t="shared" si="72"/>
        <v>50</v>
      </c>
      <c r="M759" s="1001">
        <f t="shared" si="72"/>
        <v>15000</v>
      </c>
      <c r="N759" s="1001">
        <f t="shared" si="72"/>
        <v>50</v>
      </c>
      <c r="O759" s="1001">
        <f t="shared" si="72"/>
        <v>16000</v>
      </c>
      <c r="P759" s="1001">
        <f t="shared" si="72"/>
        <v>50</v>
      </c>
      <c r="Q759" s="1001">
        <f t="shared" si="72"/>
        <v>16500</v>
      </c>
      <c r="R759" s="1001">
        <f>F759+H759+J759+L759+N759</f>
        <v>250</v>
      </c>
      <c r="S759" s="1004"/>
      <c r="T759" s="1004"/>
    </row>
    <row r="760" spans="2:20" s="1003" customFormat="1" ht="76.5" x14ac:dyDescent="0.25">
      <c r="B760" s="998" t="s">
        <v>894</v>
      </c>
      <c r="C760" s="1009" t="s">
        <v>3290</v>
      </c>
      <c r="D760" s="1025" t="s">
        <v>100</v>
      </c>
      <c r="E760" s="1001"/>
      <c r="F760" s="1001">
        <v>50</v>
      </c>
      <c r="G760" s="1001">
        <v>12000</v>
      </c>
      <c r="H760" s="1001">
        <v>50</v>
      </c>
      <c r="I760" s="1001">
        <v>11500</v>
      </c>
      <c r="J760" s="1001">
        <v>50</v>
      </c>
      <c r="K760" s="1001">
        <v>12000</v>
      </c>
      <c r="L760" s="1001">
        <v>50</v>
      </c>
      <c r="M760" s="1001">
        <v>15000</v>
      </c>
      <c r="N760" s="1001">
        <v>50</v>
      </c>
      <c r="O760" s="1001">
        <v>16000</v>
      </c>
      <c r="P760" s="1001">
        <v>50</v>
      </c>
      <c r="Q760" s="1001">
        <v>16500</v>
      </c>
      <c r="R760" s="1001"/>
      <c r="S760" s="1004"/>
      <c r="T760" s="1004"/>
    </row>
    <row r="761" spans="2:20" s="1003" customFormat="1" ht="60" x14ac:dyDescent="0.25">
      <c r="B761" s="1063" t="s">
        <v>3292</v>
      </c>
      <c r="C761" s="1000" t="s">
        <v>3291</v>
      </c>
      <c r="D761" s="1025" t="s">
        <v>19</v>
      </c>
      <c r="E761" s="1001">
        <v>75</v>
      </c>
      <c r="F761" s="1001">
        <v>77</v>
      </c>
      <c r="G761" s="1001">
        <f>G762</f>
        <v>0</v>
      </c>
      <c r="H761" s="1001"/>
      <c r="I761" s="1001">
        <f>I762</f>
        <v>0</v>
      </c>
      <c r="J761" s="1001"/>
      <c r="K761" s="1001">
        <f>K762</f>
        <v>0</v>
      </c>
      <c r="L761" s="1001">
        <v>80</v>
      </c>
      <c r="M761" s="1001">
        <f>M762</f>
        <v>8000</v>
      </c>
      <c r="N761" s="1001"/>
      <c r="O761" s="1001">
        <f>O762</f>
        <v>0</v>
      </c>
      <c r="P761" s="1001"/>
      <c r="Q761" s="1001">
        <f>Q762</f>
        <v>0</v>
      </c>
      <c r="R761" s="1001">
        <f>L761</f>
        <v>80</v>
      </c>
      <c r="S761" s="1004"/>
      <c r="T761" s="1004"/>
    </row>
    <row r="762" spans="2:20" s="1003" customFormat="1" ht="38.25" x14ac:dyDescent="0.25">
      <c r="B762" s="1008" t="s">
        <v>3293</v>
      </c>
      <c r="C762" s="1000" t="s">
        <v>3294</v>
      </c>
      <c r="D762" s="1025" t="s">
        <v>103</v>
      </c>
      <c r="E762" s="1001"/>
      <c r="F762" s="1001">
        <v>0</v>
      </c>
      <c r="G762" s="1001">
        <v>0</v>
      </c>
      <c r="H762" s="1001"/>
      <c r="I762" s="1001"/>
      <c r="J762" s="1001"/>
      <c r="K762" s="1001"/>
      <c r="L762" s="1001">
        <v>7</v>
      </c>
      <c r="M762" s="1001">
        <v>8000</v>
      </c>
      <c r="N762" s="1001">
        <v>0</v>
      </c>
      <c r="O762" s="1001">
        <v>0</v>
      </c>
      <c r="P762" s="1001">
        <v>0</v>
      </c>
      <c r="Q762" s="1001">
        <v>0</v>
      </c>
      <c r="R762" s="1001"/>
      <c r="S762" s="1004"/>
      <c r="T762" s="1004"/>
    </row>
    <row r="763" spans="2:20" s="1003" customFormat="1" ht="60" x14ac:dyDescent="0.25">
      <c r="B763" s="1063" t="s">
        <v>3296</v>
      </c>
      <c r="C763" s="1000" t="s">
        <v>3295</v>
      </c>
      <c r="D763" s="1025" t="s">
        <v>327</v>
      </c>
      <c r="E763" s="1001">
        <v>11</v>
      </c>
      <c r="F763" s="1001">
        <f>F764</f>
        <v>11</v>
      </c>
      <c r="G763" s="1001">
        <f t="shared" ref="G763:Q763" si="73">G764</f>
        <v>2200</v>
      </c>
      <c r="H763" s="1001">
        <f t="shared" si="73"/>
        <v>11</v>
      </c>
      <c r="I763" s="1001">
        <f t="shared" si="73"/>
        <v>2500</v>
      </c>
      <c r="J763" s="1001">
        <f t="shared" si="73"/>
        <v>11</v>
      </c>
      <c r="K763" s="1001">
        <f t="shared" si="73"/>
        <v>3000</v>
      </c>
      <c r="L763" s="1001">
        <f t="shared" si="73"/>
        <v>11</v>
      </c>
      <c r="M763" s="1001">
        <f t="shared" si="73"/>
        <v>3500</v>
      </c>
      <c r="N763" s="1001">
        <f t="shared" si="73"/>
        <v>11</v>
      </c>
      <c r="O763" s="1001">
        <f t="shared" si="73"/>
        <v>4000</v>
      </c>
      <c r="P763" s="1001">
        <f t="shared" si="73"/>
        <v>11</v>
      </c>
      <c r="Q763" s="1001">
        <f t="shared" si="73"/>
        <v>4500</v>
      </c>
      <c r="R763" s="1001">
        <f>N763</f>
        <v>11</v>
      </c>
      <c r="S763" s="1004"/>
      <c r="T763" s="1004"/>
    </row>
    <row r="764" spans="2:20" s="1003" customFormat="1" x14ac:dyDescent="0.25">
      <c r="B764" s="1008" t="s">
        <v>383</v>
      </c>
      <c r="C764" s="1000" t="s">
        <v>3297</v>
      </c>
      <c r="D764" s="1025"/>
      <c r="E764" s="1001"/>
      <c r="F764" s="1001">
        <v>11</v>
      </c>
      <c r="G764" s="1001">
        <v>2200</v>
      </c>
      <c r="H764" s="1001">
        <v>11</v>
      </c>
      <c r="I764" s="1001">
        <v>2500</v>
      </c>
      <c r="J764" s="1001">
        <v>11</v>
      </c>
      <c r="K764" s="1001">
        <v>3000</v>
      </c>
      <c r="L764" s="1001">
        <v>11</v>
      </c>
      <c r="M764" s="1001">
        <v>3500</v>
      </c>
      <c r="N764" s="1001">
        <v>11</v>
      </c>
      <c r="O764" s="1001">
        <v>4000</v>
      </c>
      <c r="P764" s="1001">
        <v>11</v>
      </c>
      <c r="Q764" s="1001">
        <v>4500</v>
      </c>
      <c r="R764" s="1001"/>
      <c r="S764" s="1004"/>
      <c r="T764" s="1004"/>
    </row>
    <row r="765" spans="2:20" s="1032" customFormat="1" x14ac:dyDescent="0.25">
      <c r="B765" s="1027" t="s">
        <v>2651</v>
      </c>
      <c r="C765" s="1033"/>
      <c r="D765" s="1034"/>
      <c r="E765" s="1033"/>
      <c r="F765" s="1033"/>
      <c r="G765" s="1035">
        <f>G763+G761+G759+G757+G754+G752+G748+G746+G742+G740+G738+G729+G715</f>
        <v>248509</v>
      </c>
      <c r="H765" s="1033"/>
      <c r="I765" s="1035">
        <f>I763+I761+I759+I757+I754+I752+I748+I746+I742+I740+I738+I729+I715</f>
        <v>245859</v>
      </c>
      <c r="J765" s="1033"/>
      <c r="K765" s="1035">
        <f>K763+K761+K759+K757+K754+K752+K748+K746+K742+K740+K738+K729+K715</f>
        <v>298500</v>
      </c>
      <c r="L765" s="1033"/>
      <c r="M765" s="1035">
        <f>M763+M761+M759+M757+M754+M752+M748+M746+M742+M740+M738+M729+M715</f>
        <v>340650</v>
      </c>
      <c r="N765" s="1033"/>
      <c r="O765" s="1035">
        <f>O763+O761+O759+O757+O754+O752+O748+O746+O742+O740+O738+O729+O715</f>
        <v>345600</v>
      </c>
      <c r="P765" s="1033"/>
      <c r="Q765" s="1035">
        <f>Q763+Q761+Q759+Q757+Q754+Q752+Q748+Q746+Q742+Q740+Q738+Q729+Q715</f>
        <v>361400</v>
      </c>
      <c r="R765" s="1033"/>
      <c r="S765" s="1036"/>
      <c r="T765" s="1036"/>
    </row>
    <row r="766" spans="2:20" s="1003" customFormat="1" x14ac:dyDescent="0.25">
      <c r="B766" s="1005"/>
      <c r="C766" s="1100"/>
      <c r="D766" s="1000"/>
      <c r="E766" s="1001"/>
      <c r="F766" s="1001"/>
      <c r="G766" s="1001"/>
      <c r="H766" s="1001"/>
      <c r="I766" s="1001"/>
      <c r="J766" s="1001"/>
      <c r="K766" s="1001"/>
      <c r="L766" s="1001"/>
      <c r="M766" s="1001"/>
      <c r="N766" s="1001"/>
      <c r="O766" s="1001"/>
      <c r="P766" s="1001"/>
      <c r="Q766" s="1001"/>
      <c r="R766" s="1001"/>
      <c r="S766" s="1004"/>
      <c r="T766" s="1004"/>
    </row>
    <row r="767" spans="2:20" s="1003" customFormat="1" ht="24" x14ac:dyDescent="0.25">
      <c r="B767" s="1168" t="s">
        <v>3496</v>
      </c>
      <c r="C767" s="1168"/>
      <c r="D767" s="1168"/>
      <c r="E767" s="1168"/>
      <c r="F767" s="1168"/>
      <c r="G767" s="1169">
        <f>SUM(G768:G777)</f>
        <v>405284</v>
      </c>
      <c r="H767" s="1168"/>
      <c r="I767" s="1169">
        <f>SUM(I768:I777)</f>
        <v>683716</v>
      </c>
      <c r="J767" s="1168"/>
      <c r="K767" s="1169">
        <f>SUM(K768:K777)</f>
        <v>831000</v>
      </c>
      <c r="L767" s="1170"/>
      <c r="M767" s="1169">
        <f>SUM(M768:M777)</f>
        <v>902200</v>
      </c>
      <c r="N767" s="1170"/>
      <c r="O767" s="1169">
        <f>SUM(O768:O777)</f>
        <v>998210.00000000012</v>
      </c>
      <c r="P767" s="1170"/>
      <c r="Q767" s="1169">
        <f>SUM(Q768:Q777)</f>
        <v>1083695.5000000002</v>
      </c>
      <c r="R767" s="1170"/>
      <c r="S767" s="1168"/>
      <c r="T767" s="1168"/>
    </row>
    <row r="768" spans="2:20" s="1003" customFormat="1" ht="63.75" x14ac:dyDescent="0.25">
      <c r="B768" s="1171" t="s">
        <v>36</v>
      </c>
      <c r="C768" s="1172" t="s">
        <v>1488</v>
      </c>
      <c r="D768" s="1172" t="s">
        <v>19</v>
      </c>
      <c r="E768" s="1173">
        <v>0</v>
      </c>
      <c r="F768" s="1172">
        <v>20</v>
      </c>
      <c r="G768" s="1173">
        <v>54134</v>
      </c>
      <c r="H768" s="1172">
        <v>20</v>
      </c>
      <c r="I768" s="1174">
        <v>62376</v>
      </c>
      <c r="J768" s="1172">
        <v>20</v>
      </c>
      <c r="K768" s="1175">
        <v>66500</v>
      </c>
      <c r="L768" s="1172">
        <v>20</v>
      </c>
      <c r="M768" s="1175">
        <f>105%*K768</f>
        <v>69825</v>
      </c>
      <c r="N768" s="1172">
        <v>20</v>
      </c>
      <c r="O768" s="1175">
        <f>105%*M768</f>
        <v>73316.25</v>
      </c>
      <c r="P768" s="1172">
        <v>20</v>
      </c>
      <c r="Q768" s="1175">
        <f>105%*O768</f>
        <v>76982.0625</v>
      </c>
      <c r="R768" s="1172">
        <f t="shared" ref="R768:R776" si="74">H768+J768+L768+N768+P768</f>
        <v>100</v>
      </c>
      <c r="S768" s="1172" t="s">
        <v>3497</v>
      </c>
      <c r="T768" s="1172" t="s">
        <v>3497</v>
      </c>
    </row>
    <row r="769" spans="2:20" s="1003" customFormat="1" ht="60" x14ac:dyDescent="0.25">
      <c r="B769" s="1171" t="s">
        <v>65</v>
      </c>
      <c r="C769" s="1172" t="s">
        <v>3234</v>
      </c>
      <c r="D769" s="1172" t="s">
        <v>19</v>
      </c>
      <c r="E769" s="1173">
        <v>0</v>
      </c>
      <c r="F769" s="1172">
        <v>20</v>
      </c>
      <c r="G769" s="1173">
        <v>34650</v>
      </c>
      <c r="H769" s="1172">
        <v>20</v>
      </c>
      <c r="I769" s="2116">
        <v>36200</v>
      </c>
      <c r="J769" s="1172">
        <v>20</v>
      </c>
      <c r="K769" s="2119">
        <v>39000</v>
      </c>
      <c r="L769" s="1172">
        <v>20</v>
      </c>
      <c r="M769" s="2119">
        <f>105%*K769</f>
        <v>40950</v>
      </c>
      <c r="N769" s="1172">
        <v>20</v>
      </c>
      <c r="O769" s="2119">
        <f>105%*M769</f>
        <v>42997.5</v>
      </c>
      <c r="P769" s="1172">
        <v>20</v>
      </c>
      <c r="Q769" s="2119">
        <f>105%*O769</f>
        <v>45147.375</v>
      </c>
      <c r="R769" s="1172">
        <f t="shared" si="74"/>
        <v>100</v>
      </c>
      <c r="S769" s="1172" t="s">
        <v>3497</v>
      </c>
      <c r="T769" s="1172" t="s">
        <v>3497</v>
      </c>
    </row>
    <row r="770" spans="2:20" s="1003" customFormat="1" ht="38.25" x14ac:dyDescent="0.25">
      <c r="B770" s="1172"/>
      <c r="C770" s="1172" t="s">
        <v>3235</v>
      </c>
      <c r="D770" s="1172" t="s">
        <v>19</v>
      </c>
      <c r="E770" s="1173">
        <v>0</v>
      </c>
      <c r="F770" s="1172">
        <v>20</v>
      </c>
      <c r="G770" s="1173"/>
      <c r="H770" s="1172">
        <v>20</v>
      </c>
      <c r="I770" s="2118"/>
      <c r="J770" s="1172">
        <v>20</v>
      </c>
      <c r="K770" s="2120"/>
      <c r="L770" s="1172">
        <v>20</v>
      </c>
      <c r="M770" s="2120"/>
      <c r="N770" s="1172">
        <v>20</v>
      </c>
      <c r="O770" s="2120"/>
      <c r="P770" s="1172">
        <v>20</v>
      </c>
      <c r="Q770" s="2120"/>
      <c r="R770" s="1172">
        <f t="shared" si="74"/>
        <v>100</v>
      </c>
      <c r="S770" s="1172" t="s">
        <v>3497</v>
      </c>
      <c r="T770" s="1172" t="s">
        <v>3497</v>
      </c>
    </row>
    <row r="771" spans="2:20" s="1003" customFormat="1" ht="38.25" x14ac:dyDescent="0.25">
      <c r="B771" s="1171" t="s">
        <v>3302</v>
      </c>
      <c r="C771" s="1172" t="s">
        <v>3498</v>
      </c>
      <c r="D771" s="1172" t="s">
        <v>251</v>
      </c>
      <c r="E771" s="1173">
        <v>0</v>
      </c>
      <c r="F771" s="1173">
        <v>0</v>
      </c>
      <c r="G771" s="1173">
        <v>0</v>
      </c>
      <c r="H771" s="1172">
        <v>3</v>
      </c>
      <c r="I771" s="1187">
        <v>9000</v>
      </c>
      <c r="J771" s="1172">
        <v>4</v>
      </c>
      <c r="K771" s="1188">
        <v>12000</v>
      </c>
      <c r="L771" s="1172">
        <v>4</v>
      </c>
      <c r="M771" s="1188">
        <v>12000</v>
      </c>
      <c r="N771" s="1172">
        <v>5</v>
      </c>
      <c r="O771" s="1188">
        <v>15000</v>
      </c>
      <c r="P771" s="1172">
        <v>5</v>
      </c>
      <c r="Q771" s="1188">
        <v>15000</v>
      </c>
      <c r="R771" s="1172">
        <f t="shared" si="74"/>
        <v>21</v>
      </c>
      <c r="S771" s="1172" t="s">
        <v>3497</v>
      </c>
      <c r="T771" s="1172" t="s">
        <v>3497</v>
      </c>
    </row>
    <row r="772" spans="2:20" s="1003" customFormat="1" ht="51" x14ac:dyDescent="0.25">
      <c r="B772" s="1171" t="s">
        <v>1548</v>
      </c>
      <c r="C772" s="1172" t="s">
        <v>3499</v>
      </c>
      <c r="D772" s="1172" t="s">
        <v>3311</v>
      </c>
      <c r="E772" s="1173">
        <v>0</v>
      </c>
      <c r="F772" s="1172">
        <v>5</v>
      </c>
      <c r="G772" s="1173">
        <v>300000</v>
      </c>
      <c r="H772" s="1172">
        <v>5</v>
      </c>
      <c r="I772" s="1174">
        <v>527640</v>
      </c>
      <c r="J772" s="1172">
        <v>5</v>
      </c>
      <c r="K772" s="1175">
        <v>650000</v>
      </c>
      <c r="L772" s="1172">
        <v>5</v>
      </c>
      <c r="M772" s="1175">
        <f>110%*K772</f>
        <v>715000</v>
      </c>
      <c r="N772" s="1172">
        <v>5</v>
      </c>
      <c r="O772" s="1175">
        <f>110%*M772</f>
        <v>786500.00000000012</v>
      </c>
      <c r="P772" s="1172">
        <v>5</v>
      </c>
      <c r="Q772" s="1175">
        <f>110%*O772</f>
        <v>865150.00000000023</v>
      </c>
      <c r="R772" s="1172">
        <f t="shared" si="74"/>
        <v>25</v>
      </c>
      <c r="S772" s="1172" t="s">
        <v>3497</v>
      </c>
      <c r="T772" s="1172" t="s">
        <v>3497</v>
      </c>
    </row>
    <row r="773" spans="2:20" s="1003" customFormat="1" ht="63.75" x14ac:dyDescent="0.25">
      <c r="B773" s="1171" t="s">
        <v>1690</v>
      </c>
      <c r="C773" s="1172" t="s">
        <v>3500</v>
      </c>
      <c r="D773" s="1172"/>
      <c r="E773" s="1173">
        <v>0</v>
      </c>
      <c r="F773" s="1173">
        <v>0</v>
      </c>
      <c r="G773" s="1173">
        <v>0</v>
      </c>
      <c r="H773" s="1172">
        <v>2</v>
      </c>
      <c r="I773" s="1174">
        <v>30000</v>
      </c>
      <c r="J773" s="1172">
        <v>3</v>
      </c>
      <c r="K773" s="1175">
        <v>45000</v>
      </c>
      <c r="L773" s="1172">
        <v>3</v>
      </c>
      <c r="M773" s="1175">
        <v>45000</v>
      </c>
      <c r="N773" s="1172">
        <v>4</v>
      </c>
      <c r="O773" s="1175">
        <v>60000</v>
      </c>
      <c r="P773" s="1172">
        <v>4</v>
      </c>
      <c r="Q773" s="1175">
        <v>60000</v>
      </c>
      <c r="R773" s="1172">
        <f t="shared" si="74"/>
        <v>16</v>
      </c>
      <c r="S773" s="1172" t="s">
        <v>3497</v>
      </c>
      <c r="T773" s="1172" t="s">
        <v>3497</v>
      </c>
    </row>
    <row r="774" spans="2:20" s="1003" customFormat="1" ht="48" x14ac:dyDescent="0.25">
      <c r="B774" s="1171" t="s">
        <v>3307</v>
      </c>
      <c r="C774" s="1172" t="s">
        <v>3365</v>
      </c>
      <c r="D774" s="1172" t="s">
        <v>257</v>
      </c>
      <c r="E774" s="1173">
        <v>0</v>
      </c>
      <c r="F774" s="1172">
        <v>1</v>
      </c>
      <c r="G774" s="1173">
        <v>3500</v>
      </c>
      <c r="H774" s="1172">
        <v>1</v>
      </c>
      <c r="I774" s="1174">
        <v>4500</v>
      </c>
      <c r="J774" s="1172">
        <v>1</v>
      </c>
      <c r="K774" s="1175">
        <v>4500</v>
      </c>
      <c r="L774" s="1172">
        <v>1</v>
      </c>
      <c r="M774" s="1175">
        <f>105%*K774</f>
        <v>4725</v>
      </c>
      <c r="N774" s="1172">
        <v>1</v>
      </c>
      <c r="O774" s="1175">
        <f>105%*M774</f>
        <v>4961.25</v>
      </c>
      <c r="P774" s="1172">
        <v>1</v>
      </c>
      <c r="Q774" s="1175">
        <f>105%*O774</f>
        <v>5209.3125</v>
      </c>
      <c r="R774" s="1172">
        <f t="shared" si="74"/>
        <v>5</v>
      </c>
      <c r="S774" s="1172" t="s">
        <v>3497</v>
      </c>
      <c r="T774" s="1172" t="s">
        <v>3497</v>
      </c>
    </row>
    <row r="775" spans="2:20" s="1003" customFormat="1" ht="60" x14ac:dyDescent="0.25">
      <c r="B775" s="1171" t="s">
        <v>763</v>
      </c>
      <c r="C775" s="1172" t="s">
        <v>3501</v>
      </c>
      <c r="D775" s="1172" t="s">
        <v>2558</v>
      </c>
      <c r="E775" s="1173">
        <v>0</v>
      </c>
      <c r="F775" s="1172">
        <v>330</v>
      </c>
      <c r="G775" s="1173">
        <v>5000</v>
      </c>
      <c r="H775" s="1172">
        <v>330</v>
      </c>
      <c r="I775" s="1174">
        <v>5000</v>
      </c>
      <c r="J775" s="1172">
        <v>330</v>
      </c>
      <c r="K775" s="1175">
        <v>5000</v>
      </c>
      <c r="L775" s="1172">
        <v>330</v>
      </c>
      <c r="M775" s="1175">
        <f>105%*K775</f>
        <v>5250</v>
      </c>
      <c r="N775" s="1172">
        <v>330</v>
      </c>
      <c r="O775" s="1175">
        <f>105%*M775</f>
        <v>5512.5</v>
      </c>
      <c r="P775" s="1172">
        <v>330</v>
      </c>
      <c r="Q775" s="1175">
        <f>105%*O775</f>
        <v>5788.125</v>
      </c>
      <c r="R775" s="1172">
        <f t="shared" si="74"/>
        <v>1650</v>
      </c>
      <c r="S775" s="1172" t="s">
        <v>3497</v>
      </c>
      <c r="T775" s="1172" t="s">
        <v>3497</v>
      </c>
    </row>
    <row r="776" spans="2:20" s="1003" customFormat="1" ht="60" x14ac:dyDescent="0.25">
      <c r="B776" s="1171" t="s">
        <v>1786</v>
      </c>
      <c r="C776" s="1172" t="s">
        <v>3357</v>
      </c>
      <c r="D776" s="1172" t="s">
        <v>1158</v>
      </c>
      <c r="E776" s="1173">
        <v>0</v>
      </c>
      <c r="F776" s="1172">
        <v>12</v>
      </c>
      <c r="G776" s="1173">
        <v>8000</v>
      </c>
      <c r="H776" s="1172">
        <v>12</v>
      </c>
      <c r="I776" s="1174">
        <v>9000</v>
      </c>
      <c r="J776" s="1172">
        <v>12</v>
      </c>
      <c r="K776" s="1175">
        <v>9000</v>
      </c>
      <c r="L776" s="1172">
        <v>12</v>
      </c>
      <c r="M776" s="1175">
        <f>105%*K776</f>
        <v>9450</v>
      </c>
      <c r="N776" s="1172">
        <v>12</v>
      </c>
      <c r="O776" s="1175">
        <f>105%*M776</f>
        <v>9922.5</v>
      </c>
      <c r="P776" s="1172">
        <v>12</v>
      </c>
      <c r="Q776" s="1175">
        <f>105%*O776</f>
        <v>10418.625</v>
      </c>
      <c r="R776" s="1172">
        <f t="shared" si="74"/>
        <v>60</v>
      </c>
      <c r="S776" s="1172" t="s">
        <v>3497</v>
      </c>
      <c r="T776" s="1172" t="s">
        <v>3497</v>
      </c>
    </row>
    <row r="777" spans="2:20" s="1003" customFormat="1" x14ac:dyDescent="0.25">
      <c r="B777" s="1182"/>
      <c r="C777" s="1182"/>
      <c r="D777" s="1182"/>
      <c r="E777" s="1183"/>
      <c r="F777" s="1183"/>
      <c r="G777" s="1184"/>
      <c r="H777" s="1183"/>
      <c r="I777" s="1183"/>
      <c r="J777" s="1183"/>
      <c r="K777" s="1183"/>
      <c r="L777" s="1183"/>
      <c r="M777" s="1183"/>
      <c r="N777" s="1183"/>
      <c r="O777" s="1183"/>
      <c r="P777" s="1183"/>
      <c r="Q777" s="1183"/>
      <c r="R777" s="1183"/>
      <c r="S777" s="1182"/>
      <c r="T777" s="1182"/>
    </row>
    <row r="778" spans="2:20" s="1003" customFormat="1" ht="24" x14ac:dyDescent="0.25">
      <c r="B778" s="1168" t="s">
        <v>3502</v>
      </c>
      <c r="C778" s="1168"/>
      <c r="D778" s="1168"/>
      <c r="E778" s="1168"/>
      <c r="F778" s="1168"/>
      <c r="G778" s="1169">
        <f>SUM(G779:G788)</f>
        <v>417651</v>
      </c>
      <c r="H778" s="1168"/>
      <c r="I778" s="1169">
        <f>SUM(I779:I788)</f>
        <v>739514</v>
      </c>
      <c r="J778" s="1168"/>
      <c r="K778" s="1169">
        <f>SUM(K779:K788)</f>
        <v>833250</v>
      </c>
      <c r="L778" s="1170"/>
      <c r="M778" s="1169">
        <f>SUM(M779:M788)</f>
        <v>909912.50000000012</v>
      </c>
      <c r="N778" s="1170"/>
      <c r="O778" s="1169">
        <f>SUM(O779:O788)</f>
        <v>993908.12500000023</v>
      </c>
      <c r="P778" s="1170"/>
      <c r="Q778" s="1169">
        <f>SUM(Q779:Q788)</f>
        <v>1085953.5312500005</v>
      </c>
      <c r="R778" s="1170"/>
      <c r="S778" s="1168"/>
      <c r="T778" s="1168"/>
    </row>
    <row r="779" spans="2:20" s="1003" customFormat="1" ht="63.75" x14ac:dyDescent="0.25">
      <c r="B779" s="1171" t="s">
        <v>36</v>
      </c>
      <c r="C779" s="1172" t="s">
        <v>1488</v>
      </c>
      <c r="D779" s="1172" t="s">
        <v>19</v>
      </c>
      <c r="E779" s="1173">
        <v>0</v>
      </c>
      <c r="F779" s="1172">
        <v>20</v>
      </c>
      <c r="G779" s="1173">
        <v>53151</v>
      </c>
      <c r="H779" s="1172">
        <v>20</v>
      </c>
      <c r="I779" s="1174">
        <v>57981</v>
      </c>
      <c r="J779" s="1172">
        <v>20</v>
      </c>
      <c r="K779" s="1175">
        <v>61250</v>
      </c>
      <c r="L779" s="1172">
        <v>20</v>
      </c>
      <c r="M779" s="1175">
        <f>105%*K779</f>
        <v>64312.5</v>
      </c>
      <c r="N779" s="1172">
        <v>20</v>
      </c>
      <c r="O779" s="1175">
        <f>105%*M779</f>
        <v>67528.125</v>
      </c>
      <c r="P779" s="1172">
        <v>20</v>
      </c>
      <c r="Q779" s="1175">
        <f>105%*O779</f>
        <v>70904.53125</v>
      </c>
      <c r="R779" s="1172">
        <f t="shared" ref="R779:R787" si="75">H779+J779+L779+N779+P779</f>
        <v>100</v>
      </c>
      <c r="S779" s="1172" t="s">
        <v>3503</v>
      </c>
      <c r="T779" s="1172" t="s">
        <v>3503</v>
      </c>
    </row>
    <row r="780" spans="2:20" s="1003" customFormat="1" ht="60" x14ac:dyDescent="0.25">
      <c r="B780" s="1171" t="s">
        <v>65</v>
      </c>
      <c r="C780" s="1172" t="s">
        <v>3234</v>
      </c>
      <c r="D780" s="1172" t="s">
        <v>19</v>
      </c>
      <c r="E780" s="1173">
        <v>0</v>
      </c>
      <c r="F780" s="1172">
        <v>20</v>
      </c>
      <c r="G780" s="1173">
        <v>40000</v>
      </c>
      <c r="H780" s="1172">
        <v>20</v>
      </c>
      <c r="I780" s="2116">
        <v>42500</v>
      </c>
      <c r="J780" s="1172">
        <v>20</v>
      </c>
      <c r="K780" s="2119">
        <v>45000</v>
      </c>
      <c r="L780" s="1172">
        <v>20</v>
      </c>
      <c r="M780" s="2119">
        <f>105%*K780</f>
        <v>47250</v>
      </c>
      <c r="N780" s="1172">
        <v>20</v>
      </c>
      <c r="O780" s="2119">
        <f>105%*M780</f>
        <v>49612.5</v>
      </c>
      <c r="P780" s="1172">
        <v>20</v>
      </c>
      <c r="Q780" s="2119">
        <f>105%*O780</f>
        <v>52093.125</v>
      </c>
      <c r="R780" s="1172">
        <f t="shared" si="75"/>
        <v>100</v>
      </c>
      <c r="S780" s="1172" t="s">
        <v>3503</v>
      </c>
      <c r="T780" s="1172" t="s">
        <v>3503</v>
      </c>
    </row>
    <row r="781" spans="2:20" s="1003" customFormat="1" ht="51" x14ac:dyDescent="0.25">
      <c r="B781" s="1172"/>
      <c r="C781" s="1172" t="s">
        <v>3235</v>
      </c>
      <c r="D781" s="1172" t="s">
        <v>19</v>
      </c>
      <c r="E781" s="1173">
        <v>0</v>
      </c>
      <c r="F781" s="1172">
        <v>20</v>
      </c>
      <c r="G781" s="1173"/>
      <c r="H781" s="1172">
        <v>20</v>
      </c>
      <c r="I781" s="2118"/>
      <c r="J781" s="1172">
        <v>20</v>
      </c>
      <c r="K781" s="2120"/>
      <c r="L781" s="1172">
        <v>20</v>
      </c>
      <c r="M781" s="2120"/>
      <c r="N781" s="1172">
        <v>20</v>
      </c>
      <c r="O781" s="2120"/>
      <c r="P781" s="1172">
        <v>20</v>
      </c>
      <c r="Q781" s="2120"/>
      <c r="R781" s="1172">
        <f t="shared" si="75"/>
        <v>100</v>
      </c>
      <c r="S781" s="1172" t="s">
        <v>3503</v>
      </c>
      <c r="T781" s="1172" t="s">
        <v>3503</v>
      </c>
    </row>
    <row r="782" spans="2:20" s="1003" customFormat="1" ht="51" x14ac:dyDescent="0.25">
      <c r="B782" s="1171" t="s">
        <v>1548</v>
      </c>
      <c r="C782" s="1172" t="s">
        <v>3504</v>
      </c>
      <c r="D782" s="1172" t="s">
        <v>3505</v>
      </c>
      <c r="E782" s="1173">
        <v>0</v>
      </c>
      <c r="F782" s="1172">
        <v>450</v>
      </c>
      <c r="G782" s="1173">
        <v>300000</v>
      </c>
      <c r="H782" s="1172">
        <v>450</v>
      </c>
      <c r="I782" s="1174">
        <v>612883</v>
      </c>
      <c r="J782" s="1172">
        <v>450</v>
      </c>
      <c r="K782" s="1175">
        <v>700000</v>
      </c>
      <c r="L782" s="1172">
        <v>450</v>
      </c>
      <c r="M782" s="1175">
        <f>110%*K782</f>
        <v>770000.00000000012</v>
      </c>
      <c r="N782" s="1172">
        <v>450</v>
      </c>
      <c r="O782" s="1175">
        <f>110%*M782</f>
        <v>847000.00000000023</v>
      </c>
      <c r="P782" s="1172">
        <v>450</v>
      </c>
      <c r="Q782" s="1175">
        <f>110%*O782</f>
        <v>931700.00000000035</v>
      </c>
      <c r="R782" s="1172">
        <f t="shared" si="75"/>
        <v>2250</v>
      </c>
      <c r="S782" s="1172" t="s">
        <v>3503</v>
      </c>
      <c r="T782" s="1172" t="s">
        <v>3503</v>
      </c>
    </row>
    <row r="783" spans="2:20" s="1003" customFormat="1" ht="51" x14ac:dyDescent="0.25">
      <c r="B783" s="1171" t="s">
        <v>3307</v>
      </c>
      <c r="C783" s="1172" t="s">
        <v>3343</v>
      </c>
      <c r="D783" s="1172" t="s">
        <v>1158</v>
      </c>
      <c r="E783" s="1173">
        <v>0</v>
      </c>
      <c r="F783" s="1172">
        <v>2</v>
      </c>
      <c r="G783" s="1173">
        <v>4500</v>
      </c>
      <c r="H783" s="1172">
        <v>2</v>
      </c>
      <c r="I783" s="1174">
        <v>5000</v>
      </c>
      <c r="J783" s="1172">
        <v>2</v>
      </c>
      <c r="K783" s="1175">
        <v>5000</v>
      </c>
      <c r="L783" s="1172">
        <v>2</v>
      </c>
      <c r="M783" s="1175">
        <f>105%*K783</f>
        <v>5250</v>
      </c>
      <c r="N783" s="1172">
        <v>2</v>
      </c>
      <c r="O783" s="1175">
        <f>105%*M783</f>
        <v>5512.5</v>
      </c>
      <c r="P783" s="1172">
        <v>2</v>
      </c>
      <c r="Q783" s="1175">
        <f>105%*O783</f>
        <v>5788.125</v>
      </c>
      <c r="R783" s="1172">
        <f t="shared" si="75"/>
        <v>10</v>
      </c>
      <c r="S783" s="1172" t="s">
        <v>3503</v>
      </c>
      <c r="T783" s="1172" t="s">
        <v>3503</v>
      </c>
    </row>
    <row r="784" spans="2:20" s="1003" customFormat="1" ht="60" x14ac:dyDescent="0.25">
      <c r="B784" s="1171" t="s">
        <v>763</v>
      </c>
      <c r="C784" s="1172" t="s">
        <v>3506</v>
      </c>
      <c r="D784" s="1172" t="s">
        <v>3507</v>
      </c>
      <c r="E784" s="1173">
        <v>0</v>
      </c>
      <c r="F784" s="1172">
        <v>27</v>
      </c>
      <c r="G784" s="1173">
        <v>5500</v>
      </c>
      <c r="H784" s="1172">
        <v>27</v>
      </c>
      <c r="I784" s="1174">
        <v>5750</v>
      </c>
      <c r="J784" s="1172">
        <v>27</v>
      </c>
      <c r="K784" s="1175">
        <v>6000</v>
      </c>
      <c r="L784" s="1172">
        <v>27</v>
      </c>
      <c r="M784" s="1175">
        <f>105%*K784</f>
        <v>6300</v>
      </c>
      <c r="N784" s="1172">
        <v>27</v>
      </c>
      <c r="O784" s="1175">
        <f>105%*M784</f>
        <v>6615</v>
      </c>
      <c r="P784" s="1172">
        <v>27</v>
      </c>
      <c r="Q784" s="1175">
        <f>105%*O784</f>
        <v>6945.75</v>
      </c>
      <c r="R784" s="1172">
        <f t="shared" si="75"/>
        <v>135</v>
      </c>
      <c r="S784" s="1172" t="s">
        <v>3503</v>
      </c>
      <c r="T784" s="1172" t="s">
        <v>3503</v>
      </c>
    </row>
    <row r="785" spans="2:20" s="1003" customFormat="1" ht="51" x14ac:dyDescent="0.25">
      <c r="B785" s="1171" t="s">
        <v>3312</v>
      </c>
      <c r="C785" s="1172" t="s">
        <v>3508</v>
      </c>
      <c r="D785" s="1172" t="s">
        <v>427</v>
      </c>
      <c r="E785" s="1173">
        <v>0</v>
      </c>
      <c r="F785" s="1172">
        <v>54</v>
      </c>
      <c r="G785" s="1173">
        <v>5000</v>
      </c>
      <c r="H785" s="1172">
        <v>54</v>
      </c>
      <c r="I785" s="1174">
        <v>5000</v>
      </c>
      <c r="J785" s="1172">
        <v>54</v>
      </c>
      <c r="K785" s="1175">
        <v>5000</v>
      </c>
      <c r="L785" s="1172">
        <v>54</v>
      </c>
      <c r="M785" s="1175">
        <f>105%*K785</f>
        <v>5250</v>
      </c>
      <c r="N785" s="1172">
        <v>54</v>
      </c>
      <c r="O785" s="1175">
        <f>105%*M785</f>
        <v>5512.5</v>
      </c>
      <c r="P785" s="1172">
        <v>54</v>
      </c>
      <c r="Q785" s="1175">
        <f>105%*O785</f>
        <v>5788.125</v>
      </c>
      <c r="R785" s="1172">
        <f t="shared" si="75"/>
        <v>270</v>
      </c>
      <c r="S785" s="1172" t="s">
        <v>3503</v>
      </c>
      <c r="T785" s="1172" t="s">
        <v>3503</v>
      </c>
    </row>
    <row r="786" spans="2:20" s="1003" customFormat="1" ht="76.5" x14ac:dyDescent="0.25">
      <c r="B786" s="1171" t="s">
        <v>424</v>
      </c>
      <c r="C786" s="1172" t="s">
        <v>3509</v>
      </c>
      <c r="D786" s="1172" t="s">
        <v>427</v>
      </c>
      <c r="E786" s="1173">
        <v>0</v>
      </c>
      <c r="F786" s="1172">
        <v>30</v>
      </c>
      <c r="G786" s="1173">
        <v>4500</v>
      </c>
      <c r="H786" s="1172">
        <v>30</v>
      </c>
      <c r="I786" s="1174">
        <v>4900</v>
      </c>
      <c r="J786" s="1172">
        <v>30</v>
      </c>
      <c r="K786" s="1175">
        <v>5000</v>
      </c>
      <c r="L786" s="1172">
        <v>30</v>
      </c>
      <c r="M786" s="1175">
        <f>105%*K786</f>
        <v>5250</v>
      </c>
      <c r="N786" s="1172">
        <v>30</v>
      </c>
      <c r="O786" s="1175">
        <f>105%*M786</f>
        <v>5512.5</v>
      </c>
      <c r="P786" s="1172">
        <v>30</v>
      </c>
      <c r="Q786" s="1175">
        <f>105%*O786</f>
        <v>5788.125</v>
      </c>
      <c r="R786" s="1172">
        <f t="shared" si="75"/>
        <v>150</v>
      </c>
      <c r="S786" s="1172" t="s">
        <v>3503</v>
      </c>
      <c r="T786" s="1172" t="s">
        <v>3503</v>
      </c>
    </row>
    <row r="787" spans="2:20" s="1003" customFormat="1" ht="60" x14ac:dyDescent="0.25">
      <c r="B787" s="1171" t="s">
        <v>1786</v>
      </c>
      <c r="C787" s="1172" t="s">
        <v>3510</v>
      </c>
      <c r="D787" s="1172" t="s">
        <v>3311</v>
      </c>
      <c r="E787" s="1173">
        <v>0</v>
      </c>
      <c r="F787" s="1172">
        <v>5</v>
      </c>
      <c r="G787" s="1173">
        <v>5000</v>
      </c>
      <c r="H787" s="1172">
        <v>5</v>
      </c>
      <c r="I787" s="1174">
        <v>5500</v>
      </c>
      <c r="J787" s="1172">
        <v>5</v>
      </c>
      <c r="K787" s="1175">
        <v>6000</v>
      </c>
      <c r="L787" s="1172">
        <v>5</v>
      </c>
      <c r="M787" s="1175">
        <f>105%*K787</f>
        <v>6300</v>
      </c>
      <c r="N787" s="1172">
        <v>5</v>
      </c>
      <c r="O787" s="1175">
        <f>105%*M787</f>
        <v>6615</v>
      </c>
      <c r="P787" s="1172">
        <v>5</v>
      </c>
      <c r="Q787" s="1175">
        <f>105%*O787</f>
        <v>6945.75</v>
      </c>
      <c r="R787" s="1172">
        <f t="shared" si="75"/>
        <v>25</v>
      </c>
      <c r="S787" s="1172" t="s">
        <v>3503</v>
      </c>
      <c r="T787" s="1172" t="s">
        <v>3503</v>
      </c>
    </row>
    <row r="788" spans="2:20" s="1003" customFormat="1" x14ac:dyDescent="0.25">
      <c r="B788" s="1182"/>
      <c r="C788" s="1182"/>
      <c r="D788" s="1182"/>
      <c r="E788" s="1183"/>
      <c r="F788" s="1183"/>
      <c r="G788" s="1184"/>
      <c r="H788" s="1183"/>
      <c r="I788" s="1183"/>
      <c r="J788" s="1183"/>
      <c r="K788" s="1183"/>
      <c r="L788" s="1183"/>
      <c r="M788" s="1183"/>
      <c r="N788" s="1183"/>
      <c r="O788" s="1183"/>
      <c r="P788" s="1183"/>
      <c r="Q788" s="1183"/>
      <c r="R788" s="1183"/>
      <c r="S788" s="1182"/>
      <c r="T788" s="1182"/>
    </row>
    <row r="789" spans="2:20" s="1003" customFormat="1" ht="24" x14ac:dyDescent="0.25">
      <c r="B789" s="1168" t="s">
        <v>3511</v>
      </c>
      <c r="C789" s="1168"/>
      <c r="D789" s="1168"/>
      <c r="E789" s="1168"/>
      <c r="F789" s="1168"/>
      <c r="G789" s="1169">
        <f>SUM(G790:G798)</f>
        <v>387626</v>
      </c>
      <c r="H789" s="1168"/>
      <c r="I789" s="1169">
        <f>SUM(I790:I798)</f>
        <v>603033</v>
      </c>
      <c r="J789" s="1168"/>
      <c r="K789" s="1169">
        <f>SUM(K790:K798)</f>
        <v>738200</v>
      </c>
      <c r="L789" s="1170"/>
      <c r="M789" s="1169">
        <f>SUM(M790:M798)</f>
        <v>799610</v>
      </c>
      <c r="N789" s="1170"/>
      <c r="O789" s="1169">
        <f>SUM(O790:O798)</f>
        <v>881840.5</v>
      </c>
      <c r="P789" s="1170"/>
      <c r="Q789" s="1169">
        <f>SUM(Q790:Q798)</f>
        <v>955457.52500000014</v>
      </c>
      <c r="R789" s="1170"/>
      <c r="S789" s="1168"/>
      <c r="T789" s="1168"/>
    </row>
    <row r="790" spans="2:20" s="1003" customFormat="1" ht="63.75" x14ac:dyDescent="0.25">
      <c r="B790" s="1171" t="s">
        <v>36</v>
      </c>
      <c r="C790" s="1172" t="s">
        <v>1488</v>
      </c>
      <c r="D790" s="1172" t="s">
        <v>19</v>
      </c>
      <c r="E790" s="1173">
        <v>0</v>
      </c>
      <c r="F790" s="1172">
        <v>20</v>
      </c>
      <c r="G790" s="1173">
        <v>36526</v>
      </c>
      <c r="H790" s="1172">
        <v>20</v>
      </c>
      <c r="I790" s="1174">
        <v>43313</v>
      </c>
      <c r="J790" s="1172">
        <v>20</v>
      </c>
      <c r="K790" s="1175">
        <v>48200</v>
      </c>
      <c r="L790" s="1172">
        <v>20</v>
      </c>
      <c r="M790" s="1175">
        <f>105%*K790</f>
        <v>50610</v>
      </c>
      <c r="N790" s="1172">
        <v>20</v>
      </c>
      <c r="O790" s="1175">
        <f>105%*M790</f>
        <v>53140.5</v>
      </c>
      <c r="P790" s="1172">
        <v>20</v>
      </c>
      <c r="Q790" s="1175">
        <f>105%*O790</f>
        <v>55797.525000000001</v>
      </c>
      <c r="R790" s="1172">
        <f t="shared" ref="R790:R797" si="76">H790+J790+L790+N790+P790</f>
        <v>100</v>
      </c>
      <c r="S790" s="1172" t="s">
        <v>3512</v>
      </c>
      <c r="T790" s="1172" t="s">
        <v>3512</v>
      </c>
    </row>
    <row r="791" spans="2:20" s="1003" customFormat="1" ht="60" x14ac:dyDescent="0.25">
      <c r="B791" s="1171" t="s">
        <v>65</v>
      </c>
      <c r="C791" s="1172" t="s">
        <v>3234</v>
      </c>
      <c r="D791" s="1172" t="s">
        <v>19</v>
      </c>
      <c r="E791" s="1173">
        <v>0</v>
      </c>
      <c r="F791" s="1172">
        <v>20</v>
      </c>
      <c r="G791" s="1173">
        <v>37600</v>
      </c>
      <c r="H791" s="1172">
        <v>20</v>
      </c>
      <c r="I791" s="2123">
        <v>46200</v>
      </c>
      <c r="J791" s="1172">
        <v>20</v>
      </c>
      <c r="K791" s="2123">
        <v>52000</v>
      </c>
      <c r="L791" s="1172">
        <v>20</v>
      </c>
      <c r="M791" s="2119">
        <f>105%*K791</f>
        <v>54600</v>
      </c>
      <c r="N791" s="1172">
        <v>20</v>
      </c>
      <c r="O791" s="2119">
        <f>105%*M791</f>
        <v>57330</v>
      </c>
      <c r="P791" s="1172">
        <v>20</v>
      </c>
      <c r="Q791" s="2119">
        <f>105%*O791</f>
        <v>60196.5</v>
      </c>
      <c r="R791" s="1172">
        <f t="shared" si="76"/>
        <v>100</v>
      </c>
      <c r="S791" s="1172" t="s">
        <v>3512</v>
      </c>
      <c r="T791" s="1172" t="s">
        <v>3512</v>
      </c>
    </row>
    <row r="792" spans="2:20" s="1003" customFormat="1" ht="38.25" x14ac:dyDescent="0.25">
      <c r="B792" s="1172"/>
      <c r="C792" s="1172" t="s">
        <v>3235</v>
      </c>
      <c r="D792" s="1172" t="s">
        <v>19</v>
      </c>
      <c r="E792" s="1173">
        <v>0</v>
      </c>
      <c r="F792" s="1172">
        <v>20</v>
      </c>
      <c r="G792" s="1173"/>
      <c r="H792" s="1172">
        <v>20</v>
      </c>
      <c r="I792" s="2124"/>
      <c r="J792" s="1172">
        <v>20</v>
      </c>
      <c r="K792" s="2124"/>
      <c r="L792" s="1172">
        <v>20</v>
      </c>
      <c r="M792" s="2120"/>
      <c r="N792" s="1172">
        <v>20</v>
      </c>
      <c r="O792" s="2120"/>
      <c r="P792" s="1172">
        <v>20</v>
      </c>
      <c r="Q792" s="2120"/>
      <c r="R792" s="1172">
        <f t="shared" si="76"/>
        <v>100</v>
      </c>
      <c r="S792" s="1172" t="s">
        <v>3512</v>
      </c>
      <c r="T792" s="1172" t="s">
        <v>3512</v>
      </c>
    </row>
    <row r="793" spans="2:20" s="1003" customFormat="1" ht="63.75" x14ac:dyDescent="0.25">
      <c r="B793" s="1171" t="s">
        <v>1548</v>
      </c>
      <c r="C793" s="1172" t="s">
        <v>3513</v>
      </c>
      <c r="D793" s="1172" t="s">
        <v>3311</v>
      </c>
      <c r="E793" s="1173">
        <v>0</v>
      </c>
      <c r="F793" s="1172">
        <v>3</v>
      </c>
      <c r="G793" s="1173">
        <v>300000</v>
      </c>
      <c r="H793" s="1172">
        <v>3</v>
      </c>
      <c r="I793" s="1174">
        <v>443520</v>
      </c>
      <c r="J793" s="1172">
        <v>3</v>
      </c>
      <c r="K793" s="1175">
        <v>550000</v>
      </c>
      <c r="L793" s="1172">
        <v>3</v>
      </c>
      <c r="M793" s="1175">
        <f>110%*K793</f>
        <v>605000</v>
      </c>
      <c r="N793" s="1172">
        <v>3</v>
      </c>
      <c r="O793" s="1175">
        <f>110%*M793</f>
        <v>665500</v>
      </c>
      <c r="P793" s="1172">
        <v>3</v>
      </c>
      <c r="Q793" s="1175">
        <f>110%*O793</f>
        <v>732050.00000000012</v>
      </c>
      <c r="R793" s="1172">
        <f t="shared" si="76"/>
        <v>15</v>
      </c>
      <c r="S793" s="1172" t="s">
        <v>3512</v>
      </c>
      <c r="T793" s="1172" t="s">
        <v>3512</v>
      </c>
    </row>
    <row r="794" spans="2:20" s="1003" customFormat="1" ht="63.75" x14ac:dyDescent="0.25">
      <c r="B794" s="1171" t="s">
        <v>1690</v>
      </c>
      <c r="C794" s="1172" t="s">
        <v>3500</v>
      </c>
      <c r="D794" s="1172" t="s">
        <v>251</v>
      </c>
      <c r="E794" s="1173">
        <v>0</v>
      </c>
      <c r="F794" s="1173">
        <v>0</v>
      </c>
      <c r="G794" s="1173">
        <v>0</v>
      </c>
      <c r="H794" s="1172">
        <v>3</v>
      </c>
      <c r="I794" s="1174">
        <v>45000</v>
      </c>
      <c r="J794" s="1172">
        <v>4</v>
      </c>
      <c r="K794" s="1175">
        <v>60000</v>
      </c>
      <c r="L794" s="1172">
        <v>4</v>
      </c>
      <c r="M794" s="1175">
        <v>60000</v>
      </c>
      <c r="N794" s="1172">
        <v>5</v>
      </c>
      <c r="O794" s="1175">
        <v>75000</v>
      </c>
      <c r="P794" s="1172">
        <v>5</v>
      </c>
      <c r="Q794" s="1175">
        <v>75000</v>
      </c>
      <c r="R794" s="1172">
        <f t="shared" si="76"/>
        <v>21</v>
      </c>
      <c r="S794" s="1172" t="s">
        <v>3512</v>
      </c>
      <c r="T794" s="1172" t="s">
        <v>3512</v>
      </c>
    </row>
    <row r="795" spans="2:20" s="1003" customFormat="1" ht="51" x14ac:dyDescent="0.25">
      <c r="B795" s="1171" t="s">
        <v>3307</v>
      </c>
      <c r="C795" s="1172" t="s">
        <v>3514</v>
      </c>
      <c r="D795" s="1172" t="s">
        <v>427</v>
      </c>
      <c r="E795" s="1173">
        <v>0</v>
      </c>
      <c r="F795" s="1172">
        <v>80</v>
      </c>
      <c r="G795" s="1173">
        <v>4000</v>
      </c>
      <c r="H795" s="1172">
        <v>80</v>
      </c>
      <c r="I795" s="1174">
        <v>5000</v>
      </c>
      <c r="J795" s="1172">
        <v>80</v>
      </c>
      <c r="K795" s="1175">
        <v>5500</v>
      </c>
      <c r="L795" s="1172">
        <v>80</v>
      </c>
      <c r="M795" s="1175">
        <f>105%*K795</f>
        <v>5775</v>
      </c>
      <c r="N795" s="1172">
        <v>80</v>
      </c>
      <c r="O795" s="1175">
        <f>105%*M795</f>
        <v>6063.75</v>
      </c>
      <c r="P795" s="1172">
        <v>80</v>
      </c>
      <c r="Q795" s="1175">
        <f>105%*O795</f>
        <v>6366.9375</v>
      </c>
      <c r="R795" s="1172">
        <f t="shared" si="76"/>
        <v>400</v>
      </c>
      <c r="S795" s="1172" t="s">
        <v>3512</v>
      </c>
      <c r="T795" s="1172" t="s">
        <v>3512</v>
      </c>
    </row>
    <row r="796" spans="2:20" s="1003" customFormat="1" ht="60" x14ac:dyDescent="0.25">
      <c r="B796" s="1171" t="s">
        <v>763</v>
      </c>
      <c r="C796" s="1172" t="s">
        <v>3515</v>
      </c>
      <c r="D796" s="1172" t="s">
        <v>282</v>
      </c>
      <c r="E796" s="1173">
        <v>0</v>
      </c>
      <c r="F796" s="1172">
        <v>1</v>
      </c>
      <c r="G796" s="1173">
        <v>4500</v>
      </c>
      <c r="H796" s="1172">
        <v>1</v>
      </c>
      <c r="I796" s="1174">
        <v>5000</v>
      </c>
      <c r="J796" s="1172">
        <v>1</v>
      </c>
      <c r="K796" s="1175">
        <v>5500</v>
      </c>
      <c r="L796" s="1172">
        <v>1</v>
      </c>
      <c r="M796" s="1175">
        <f>105%*K796</f>
        <v>5775</v>
      </c>
      <c r="N796" s="1172">
        <v>1</v>
      </c>
      <c r="O796" s="1175">
        <f>105%*M796</f>
        <v>6063.75</v>
      </c>
      <c r="P796" s="1172">
        <v>1</v>
      </c>
      <c r="Q796" s="1175">
        <f>105%*O796</f>
        <v>6366.9375</v>
      </c>
      <c r="R796" s="1172">
        <f t="shared" si="76"/>
        <v>5</v>
      </c>
      <c r="S796" s="1172" t="s">
        <v>3512</v>
      </c>
      <c r="T796" s="1172" t="s">
        <v>3512</v>
      </c>
    </row>
    <row r="797" spans="2:20" s="1003" customFormat="1" ht="60" x14ac:dyDescent="0.25">
      <c r="B797" s="1171" t="s">
        <v>1786</v>
      </c>
      <c r="C797" s="1172" t="s">
        <v>3317</v>
      </c>
      <c r="D797" s="1172" t="s">
        <v>3311</v>
      </c>
      <c r="E797" s="1173">
        <v>0</v>
      </c>
      <c r="F797" s="1172">
        <v>3</v>
      </c>
      <c r="G797" s="1173">
        <v>5000</v>
      </c>
      <c r="H797" s="1172">
        <v>3</v>
      </c>
      <c r="I797" s="1174">
        <v>15000</v>
      </c>
      <c r="J797" s="1172">
        <v>3</v>
      </c>
      <c r="K797" s="1175">
        <v>17000</v>
      </c>
      <c r="L797" s="1172">
        <v>3</v>
      </c>
      <c r="M797" s="1175">
        <f>105%*K797</f>
        <v>17850</v>
      </c>
      <c r="N797" s="1172">
        <v>3</v>
      </c>
      <c r="O797" s="1175">
        <f>105%*M797</f>
        <v>18742.5</v>
      </c>
      <c r="P797" s="1172">
        <v>3</v>
      </c>
      <c r="Q797" s="1175">
        <f>105%*O797</f>
        <v>19679.625</v>
      </c>
      <c r="R797" s="1172">
        <f t="shared" si="76"/>
        <v>15</v>
      </c>
      <c r="S797" s="1172" t="s">
        <v>3512</v>
      </c>
      <c r="T797" s="1172" t="s">
        <v>3512</v>
      </c>
    </row>
    <row r="798" spans="2:20" s="1003" customFormat="1" x14ac:dyDescent="0.25">
      <c r="B798" s="1182"/>
      <c r="C798" s="1182"/>
      <c r="D798" s="1182"/>
      <c r="E798" s="1183"/>
      <c r="F798" s="1183"/>
      <c r="G798" s="1184"/>
      <c r="H798" s="1183"/>
      <c r="I798" s="1183"/>
      <c r="J798" s="1183"/>
      <c r="K798" s="1183"/>
      <c r="L798" s="1183"/>
      <c r="M798" s="1183"/>
      <c r="N798" s="1183"/>
      <c r="O798" s="1183"/>
      <c r="P798" s="1183"/>
      <c r="Q798" s="1183"/>
      <c r="R798" s="1172"/>
      <c r="S798" s="1182"/>
      <c r="T798" s="1182"/>
    </row>
    <row r="799" spans="2:20" s="1003" customFormat="1" ht="36" x14ac:dyDescent="0.25">
      <c r="B799" s="1168" t="s">
        <v>3516</v>
      </c>
      <c r="C799" s="1168"/>
      <c r="D799" s="1168"/>
      <c r="E799" s="1168"/>
      <c r="F799" s="1168"/>
      <c r="G799" s="1169">
        <f>SUM(G800:G812)</f>
        <v>412633</v>
      </c>
      <c r="H799" s="1168"/>
      <c r="I799" s="1169">
        <f>SUM(I800:I812)</f>
        <v>723851</v>
      </c>
      <c r="J799" s="1168"/>
      <c r="K799" s="1169">
        <f>SUM(K800:K812)</f>
        <v>778650</v>
      </c>
      <c r="L799" s="1170"/>
      <c r="M799" s="1169">
        <f>SUM(M800:M812)</f>
        <v>902582.5</v>
      </c>
      <c r="N799" s="1170"/>
      <c r="O799" s="1169">
        <f>SUM(O800:O812)</f>
        <v>980836.62500000012</v>
      </c>
      <c r="P799" s="1170"/>
      <c r="Q799" s="1169">
        <f>SUM(Q800:Q812)</f>
        <v>1051578.4562500003</v>
      </c>
      <c r="R799" s="1170"/>
      <c r="S799" s="1168"/>
      <c r="T799" s="1168"/>
    </row>
    <row r="800" spans="2:20" s="1003" customFormat="1" ht="63.75" x14ac:dyDescent="0.25">
      <c r="B800" s="1171" t="s">
        <v>36</v>
      </c>
      <c r="C800" s="1172" t="s">
        <v>1488</v>
      </c>
      <c r="D800" s="1172" t="s">
        <v>19</v>
      </c>
      <c r="E800" s="1173">
        <v>0</v>
      </c>
      <c r="F800" s="1172">
        <v>20</v>
      </c>
      <c r="G800" s="1173">
        <v>44633</v>
      </c>
      <c r="H800" s="1172">
        <v>20</v>
      </c>
      <c r="I800" s="1174">
        <v>47949</v>
      </c>
      <c r="J800" s="1172">
        <v>20</v>
      </c>
      <c r="K800" s="1175">
        <v>50150</v>
      </c>
      <c r="L800" s="1172">
        <v>20</v>
      </c>
      <c r="M800" s="1175">
        <f>105%*K800</f>
        <v>52657.5</v>
      </c>
      <c r="N800" s="1172">
        <v>20</v>
      </c>
      <c r="O800" s="1175">
        <f>105%*M800</f>
        <v>55290.375</v>
      </c>
      <c r="P800" s="1172">
        <v>20</v>
      </c>
      <c r="Q800" s="1175">
        <f>105%*O800</f>
        <v>58054.893750000003</v>
      </c>
      <c r="R800" s="1172">
        <f t="shared" ref="R800:R811" si="77">H800+J800+L800+N800+P800</f>
        <v>100</v>
      </c>
      <c r="S800" s="1172" t="s">
        <v>3517</v>
      </c>
      <c r="T800" s="1172" t="s">
        <v>3517</v>
      </c>
    </row>
    <row r="801" spans="2:20" s="1003" customFormat="1" ht="60" x14ac:dyDescent="0.25">
      <c r="B801" s="1171" t="s">
        <v>65</v>
      </c>
      <c r="C801" s="1172" t="s">
        <v>3234</v>
      </c>
      <c r="D801" s="1172" t="s">
        <v>19</v>
      </c>
      <c r="E801" s="1173">
        <v>0</v>
      </c>
      <c r="F801" s="1172">
        <v>20</v>
      </c>
      <c r="G801" s="1173">
        <v>45000</v>
      </c>
      <c r="H801" s="1172">
        <v>20</v>
      </c>
      <c r="I801" s="2116">
        <v>50800</v>
      </c>
      <c r="J801" s="1172">
        <v>20</v>
      </c>
      <c r="K801" s="2119">
        <v>50000</v>
      </c>
      <c r="L801" s="1172">
        <v>20</v>
      </c>
      <c r="M801" s="2119">
        <f>105%*K801</f>
        <v>52500</v>
      </c>
      <c r="N801" s="1172">
        <v>20</v>
      </c>
      <c r="O801" s="2119">
        <f>105%*M801</f>
        <v>55125</v>
      </c>
      <c r="P801" s="1172">
        <v>20</v>
      </c>
      <c r="Q801" s="2119">
        <f>105%*O801</f>
        <v>57881.25</v>
      </c>
      <c r="R801" s="1172">
        <f t="shared" si="77"/>
        <v>100</v>
      </c>
      <c r="S801" s="1172" t="s">
        <v>3517</v>
      </c>
      <c r="T801" s="1172" t="s">
        <v>3517</v>
      </c>
    </row>
    <row r="802" spans="2:20" s="1003" customFormat="1" ht="51" x14ac:dyDescent="0.25">
      <c r="B802" s="1172"/>
      <c r="C802" s="1172" t="s">
        <v>3235</v>
      </c>
      <c r="D802" s="1172" t="s">
        <v>19</v>
      </c>
      <c r="E802" s="1173">
        <v>0</v>
      </c>
      <c r="F802" s="1172">
        <v>20</v>
      </c>
      <c r="G802" s="1173"/>
      <c r="H802" s="1172">
        <v>20</v>
      </c>
      <c r="I802" s="2118"/>
      <c r="J802" s="1172">
        <v>20</v>
      </c>
      <c r="K802" s="2120"/>
      <c r="L802" s="1172">
        <v>20</v>
      </c>
      <c r="M802" s="2120"/>
      <c r="N802" s="1172">
        <v>20</v>
      </c>
      <c r="O802" s="2120"/>
      <c r="P802" s="1172">
        <v>20</v>
      </c>
      <c r="Q802" s="2120"/>
      <c r="R802" s="1172">
        <f t="shared" si="77"/>
        <v>100</v>
      </c>
      <c r="S802" s="1172" t="s">
        <v>3517</v>
      </c>
      <c r="T802" s="1172" t="s">
        <v>3517</v>
      </c>
    </row>
    <row r="803" spans="2:20" s="1003" customFormat="1" ht="36" x14ac:dyDescent="0.25">
      <c r="B803" s="1171" t="s">
        <v>1180</v>
      </c>
      <c r="C803" s="1172" t="s">
        <v>3518</v>
      </c>
      <c r="D803" s="1172" t="s">
        <v>251</v>
      </c>
      <c r="E803" s="1173">
        <v>0</v>
      </c>
      <c r="F803" s="1172">
        <v>0</v>
      </c>
      <c r="G803" s="1173">
        <v>0</v>
      </c>
      <c r="H803" s="1172">
        <v>1</v>
      </c>
      <c r="I803" s="1187">
        <v>20000</v>
      </c>
      <c r="J803" s="1173">
        <v>0</v>
      </c>
      <c r="K803" s="1173">
        <v>0</v>
      </c>
      <c r="L803" s="1173">
        <v>0</v>
      </c>
      <c r="M803" s="1173">
        <v>0</v>
      </c>
      <c r="N803" s="1173">
        <v>0</v>
      </c>
      <c r="O803" s="1173">
        <v>0</v>
      </c>
      <c r="P803" s="1173">
        <v>0</v>
      </c>
      <c r="Q803" s="1173">
        <v>0</v>
      </c>
      <c r="R803" s="1172">
        <v>1</v>
      </c>
      <c r="S803" s="1172"/>
      <c r="T803" s="1172"/>
    </row>
    <row r="804" spans="2:20" s="1003" customFormat="1" ht="51" x14ac:dyDescent="0.25">
      <c r="B804" s="1171" t="s">
        <v>3302</v>
      </c>
      <c r="C804" s="1172" t="s">
        <v>1044</v>
      </c>
      <c r="D804" s="1172" t="s">
        <v>3311</v>
      </c>
      <c r="E804" s="1173">
        <v>0</v>
      </c>
      <c r="F804" s="1173">
        <v>0</v>
      </c>
      <c r="G804" s="1173">
        <v>0</v>
      </c>
      <c r="H804" s="1172">
        <v>7</v>
      </c>
      <c r="I804" s="1174">
        <v>7500</v>
      </c>
      <c r="J804" s="1173">
        <v>0</v>
      </c>
      <c r="K804" s="1173">
        <v>0</v>
      </c>
      <c r="L804" s="1172">
        <v>7</v>
      </c>
      <c r="M804" s="1174">
        <v>7500</v>
      </c>
      <c r="N804" s="1172">
        <v>7</v>
      </c>
      <c r="O804" s="1174">
        <v>7500</v>
      </c>
      <c r="P804" s="1172">
        <v>7</v>
      </c>
      <c r="Q804" s="1174">
        <v>7500</v>
      </c>
      <c r="R804" s="1172">
        <f t="shared" si="77"/>
        <v>28</v>
      </c>
      <c r="S804" s="1172" t="s">
        <v>3517</v>
      </c>
      <c r="T804" s="1172" t="s">
        <v>3517</v>
      </c>
    </row>
    <row r="805" spans="2:20" s="1003" customFormat="1" ht="51" x14ac:dyDescent="0.25">
      <c r="B805" s="1171" t="s">
        <v>1548</v>
      </c>
      <c r="C805" s="1172" t="s">
        <v>3519</v>
      </c>
      <c r="D805" s="1172" t="s">
        <v>3311</v>
      </c>
      <c r="E805" s="1173">
        <v>0</v>
      </c>
      <c r="F805" s="1172">
        <v>8</v>
      </c>
      <c r="G805" s="1173">
        <v>300000</v>
      </c>
      <c r="H805" s="1172">
        <v>8</v>
      </c>
      <c r="I805" s="1174">
        <v>542402</v>
      </c>
      <c r="J805" s="1172">
        <v>8</v>
      </c>
      <c r="K805" s="1175">
        <v>650000</v>
      </c>
      <c r="L805" s="1172">
        <v>8</v>
      </c>
      <c r="M805" s="1175">
        <f>110%*K805</f>
        <v>715000</v>
      </c>
      <c r="N805" s="1172">
        <v>8</v>
      </c>
      <c r="O805" s="1175">
        <f>110%*M805</f>
        <v>786500.00000000012</v>
      </c>
      <c r="P805" s="1172">
        <v>8</v>
      </c>
      <c r="Q805" s="1175">
        <f>110%*O805</f>
        <v>865150.00000000023</v>
      </c>
      <c r="R805" s="1172">
        <f t="shared" si="77"/>
        <v>40</v>
      </c>
      <c r="S805" s="1172" t="s">
        <v>3517</v>
      </c>
      <c r="T805" s="1172" t="s">
        <v>3517</v>
      </c>
    </row>
    <row r="806" spans="2:20" s="1003" customFormat="1" ht="76.5" x14ac:dyDescent="0.25">
      <c r="B806" s="1171" t="s">
        <v>1690</v>
      </c>
      <c r="C806" s="1172" t="s">
        <v>1692</v>
      </c>
      <c r="D806" s="1172" t="s">
        <v>251</v>
      </c>
      <c r="E806" s="1173">
        <v>0</v>
      </c>
      <c r="F806" s="1173">
        <v>0</v>
      </c>
      <c r="G806" s="1173">
        <v>0</v>
      </c>
      <c r="H806" s="1172">
        <v>2</v>
      </c>
      <c r="I806" s="1174">
        <v>30000</v>
      </c>
      <c r="J806" s="1173">
        <v>0</v>
      </c>
      <c r="K806" s="1173">
        <v>0</v>
      </c>
      <c r="L806" s="1172">
        <v>3</v>
      </c>
      <c r="M806" s="1174">
        <v>45000</v>
      </c>
      <c r="N806" s="1172">
        <v>3</v>
      </c>
      <c r="O806" s="1174">
        <v>45000</v>
      </c>
      <c r="P806" s="1172">
        <v>2</v>
      </c>
      <c r="Q806" s="1174">
        <v>30000</v>
      </c>
      <c r="R806" s="1172">
        <f t="shared" si="77"/>
        <v>10</v>
      </c>
      <c r="S806" s="1172" t="s">
        <v>3517</v>
      </c>
      <c r="T806" s="1172" t="s">
        <v>3517</v>
      </c>
    </row>
    <row r="807" spans="2:20" s="1003" customFormat="1" ht="51" x14ac:dyDescent="0.25">
      <c r="B807" s="1171" t="s">
        <v>3307</v>
      </c>
      <c r="C807" s="1172" t="s">
        <v>3343</v>
      </c>
      <c r="D807" s="1172" t="s">
        <v>3507</v>
      </c>
      <c r="E807" s="1173">
        <v>0</v>
      </c>
      <c r="F807" s="1172">
        <v>27</v>
      </c>
      <c r="G807" s="1173">
        <v>4000</v>
      </c>
      <c r="H807" s="1172">
        <v>27</v>
      </c>
      <c r="I807" s="1174">
        <v>4200</v>
      </c>
      <c r="J807" s="1172">
        <v>27</v>
      </c>
      <c r="K807" s="1175">
        <v>4500</v>
      </c>
      <c r="L807" s="1172">
        <v>27</v>
      </c>
      <c r="M807" s="1175">
        <f>105%*K807</f>
        <v>4725</v>
      </c>
      <c r="N807" s="1172">
        <v>27</v>
      </c>
      <c r="O807" s="1175">
        <f>105%*M807</f>
        <v>4961.25</v>
      </c>
      <c r="P807" s="1172">
        <v>27</v>
      </c>
      <c r="Q807" s="1175">
        <f>105%*O807</f>
        <v>5209.3125</v>
      </c>
      <c r="R807" s="1172">
        <f t="shared" si="77"/>
        <v>135</v>
      </c>
      <c r="S807" s="1172" t="s">
        <v>3517</v>
      </c>
      <c r="T807" s="1172" t="s">
        <v>3517</v>
      </c>
    </row>
    <row r="808" spans="2:20" s="1003" customFormat="1" ht="60" x14ac:dyDescent="0.25">
      <c r="B808" s="1171" t="s">
        <v>763</v>
      </c>
      <c r="C808" s="1172" t="s">
        <v>3501</v>
      </c>
      <c r="D808" s="1172" t="s">
        <v>3507</v>
      </c>
      <c r="E808" s="1173">
        <v>0</v>
      </c>
      <c r="F808" s="1172">
        <v>27</v>
      </c>
      <c r="G808" s="1173">
        <v>5000</v>
      </c>
      <c r="H808" s="1172">
        <v>27</v>
      </c>
      <c r="I808" s="1174">
        <v>5000</v>
      </c>
      <c r="J808" s="1172">
        <v>27</v>
      </c>
      <c r="K808" s="1175">
        <v>6000</v>
      </c>
      <c r="L808" s="1172">
        <v>27</v>
      </c>
      <c r="M808" s="1175">
        <f>105%*K808</f>
        <v>6300</v>
      </c>
      <c r="N808" s="1172">
        <v>27</v>
      </c>
      <c r="O808" s="1175">
        <f>105%*M808</f>
        <v>6615</v>
      </c>
      <c r="P808" s="1172">
        <v>27</v>
      </c>
      <c r="Q808" s="1175">
        <f>105%*O808</f>
        <v>6945.75</v>
      </c>
      <c r="R808" s="1172">
        <f t="shared" si="77"/>
        <v>135</v>
      </c>
      <c r="S808" s="1172" t="s">
        <v>3517</v>
      </c>
      <c r="T808" s="1172" t="s">
        <v>3517</v>
      </c>
    </row>
    <row r="809" spans="2:20" s="1003" customFormat="1" ht="51" x14ac:dyDescent="0.25">
      <c r="B809" s="1171" t="s">
        <v>3312</v>
      </c>
      <c r="C809" s="1172" t="s">
        <v>3520</v>
      </c>
      <c r="D809" s="1172" t="s">
        <v>427</v>
      </c>
      <c r="E809" s="1173">
        <v>0</v>
      </c>
      <c r="F809" s="1172">
        <v>40</v>
      </c>
      <c r="G809" s="1173">
        <v>3500</v>
      </c>
      <c r="H809" s="1172">
        <v>40</v>
      </c>
      <c r="I809" s="1174">
        <v>4500</v>
      </c>
      <c r="J809" s="1172">
        <v>40</v>
      </c>
      <c r="K809" s="1175">
        <v>4500</v>
      </c>
      <c r="L809" s="1172">
        <v>40</v>
      </c>
      <c r="M809" s="1175">
        <f>105%*K809</f>
        <v>4725</v>
      </c>
      <c r="N809" s="1172">
        <v>40</v>
      </c>
      <c r="O809" s="1175">
        <f>105%*M809</f>
        <v>4961.25</v>
      </c>
      <c r="P809" s="1172">
        <v>40</v>
      </c>
      <c r="Q809" s="1175">
        <f>105%*O809</f>
        <v>5209.3125</v>
      </c>
      <c r="R809" s="1172">
        <f t="shared" si="77"/>
        <v>200</v>
      </c>
      <c r="S809" s="1172" t="s">
        <v>3517</v>
      </c>
      <c r="T809" s="1172" t="s">
        <v>3517</v>
      </c>
    </row>
    <row r="810" spans="2:20" s="1003" customFormat="1" ht="60" x14ac:dyDescent="0.25">
      <c r="B810" s="1171" t="s">
        <v>1786</v>
      </c>
      <c r="C810" s="1172" t="s">
        <v>3510</v>
      </c>
      <c r="D810" s="1172" t="s">
        <v>3507</v>
      </c>
      <c r="E810" s="1173">
        <v>0</v>
      </c>
      <c r="F810" s="1172">
        <v>27</v>
      </c>
      <c r="G810" s="1173">
        <v>6000</v>
      </c>
      <c r="H810" s="1172">
        <v>27</v>
      </c>
      <c r="I810" s="1174">
        <v>7000</v>
      </c>
      <c r="J810" s="1172">
        <v>27</v>
      </c>
      <c r="K810" s="1175">
        <v>7500</v>
      </c>
      <c r="L810" s="1172">
        <v>27</v>
      </c>
      <c r="M810" s="1175">
        <f>105%*K810</f>
        <v>7875</v>
      </c>
      <c r="N810" s="1172">
        <v>27</v>
      </c>
      <c r="O810" s="1175">
        <f>105%*M810</f>
        <v>8268.75</v>
      </c>
      <c r="P810" s="1172">
        <v>27</v>
      </c>
      <c r="Q810" s="1175">
        <f>105%*O810</f>
        <v>8682.1875</v>
      </c>
      <c r="R810" s="1172">
        <f t="shared" si="77"/>
        <v>135</v>
      </c>
      <c r="S810" s="1172" t="s">
        <v>3517</v>
      </c>
      <c r="T810" s="1172" t="s">
        <v>3517</v>
      </c>
    </row>
    <row r="811" spans="2:20" s="1003" customFormat="1" ht="60" x14ac:dyDescent="0.25">
      <c r="B811" s="1171" t="s">
        <v>167</v>
      </c>
      <c r="C811" s="1172" t="s">
        <v>3521</v>
      </c>
      <c r="D811" s="1172" t="s">
        <v>257</v>
      </c>
      <c r="E811" s="1173">
        <v>0</v>
      </c>
      <c r="F811" s="1172">
        <v>1</v>
      </c>
      <c r="G811" s="1173">
        <v>4500</v>
      </c>
      <c r="H811" s="1172">
        <v>1</v>
      </c>
      <c r="I811" s="1174">
        <v>4500</v>
      </c>
      <c r="J811" s="1172">
        <v>1</v>
      </c>
      <c r="K811" s="1175">
        <v>6000</v>
      </c>
      <c r="L811" s="1172">
        <v>1</v>
      </c>
      <c r="M811" s="1175">
        <f>105%*K811</f>
        <v>6300</v>
      </c>
      <c r="N811" s="1172">
        <v>1</v>
      </c>
      <c r="O811" s="1175">
        <f>105%*M811</f>
        <v>6615</v>
      </c>
      <c r="P811" s="1172">
        <v>1</v>
      </c>
      <c r="Q811" s="1175">
        <f>105%*O811</f>
        <v>6945.75</v>
      </c>
      <c r="R811" s="1172">
        <f t="shared" si="77"/>
        <v>5</v>
      </c>
      <c r="S811" s="1172" t="s">
        <v>3517</v>
      </c>
      <c r="T811" s="1172" t="s">
        <v>3517</v>
      </c>
    </row>
    <row r="812" spans="2:20" s="1003" customFormat="1" x14ac:dyDescent="0.25">
      <c r="B812" s="1182"/>
      <c r="C812" s="1182"/>
      <c r="D812" s="1182"/>
      <c r="E812" s="1183"/>
      <c r="F812" s="1183"/>
      <c r="G812" s="1184"/>
      <c r="H812" s="1183"/>
      <c r="I812" s="1183"/>
      <c r="J812" s="1183"/>
      <c r="K812" s="1183"/>
      <c r="L812" s="1183"/>
      <c r="M812" s="1183"/>
      <c r="N812" s="1183"/>
      <c r="O812" s="1183"/>
      <c r="P812" s="1183"/>
      <c r="Q812" s="1183"/>
      <c r="R812" s="1183"/>
      <c r="S812" s="1182"/>
      <c r="T812" s="1182"/>
    </row>
    <row r="813" spans="2:20" s="1003" customFormat="1" x14ac:dyDescent="0.25">
      <c r="B813" s="1167" t="s">
        <v>3522</v>
      </c>
      <c r="C813" s="1100"/>
      <c r="D813" s="1000"/>
      <c r="E813" s="1001"/>
      <c r="F813" s="1001"/>
      <c r="G813" s="1001"/>
      <c r="H813" s="1001"/>
      <c r="I813" s="1001"/>
      <c r="J813" s="1001"/>
      <c r="K813" s="1001"/>
      <c r="L813" s="1001"/>
      <c r="M813" s="1001"/>
      <c r="N813" s="1001"/>
      <c r="O813" s="1001"/>
      <c r="P813" s="1001"/>
      <c r="Q813" s="1001"/>
      <c r="R813" s="1001"/>
      <c r="S813" s="1004"/>
      <c r="T813" s="1004"/>
    </row>
    <row r="814" spans="2:20" s="1003" customFormat="1" ht="51" customHeight="1" x14ac:dyDescent="0.25">
      <c r="B814" s="998"/>
      <c r="C814" s="999" t="s">
        <v>3228</v>
      </c>
      <c r="D814" s="1025" t="s">
        <v>19</v>
      </c>
      <c r="E814" s="1001">
        <v>90</v>
      </c>
      <c r="F814" s="1001">
        <v>93</v>
      </c>
      <c r="G814" s="1001"/>
      <c r="H814" s="1001">
        <v>94</v>
      </c>
      <c r="I814" s="1001"/>
      <c r="J814" s="1001">
        <v>95</v>
      </c>
      <c r="K814" s="1001"/>
      <c r="L814" s="1001">
        <v>96</v>
      </c>
      <c r="M814" s="1001"/>
      <c r="N814" s="1001">
        <v>97</v>
      </c>
      <c r="O814" s="1001"/>
      <c r="P814" s="1001">
        <v>98</v>
      </c>
      <c r="Q814" s="1001"/>
      <c r="R814" s="1001">
        <v>97</v>
      </c>
      <c r="S814" s="1002"/>
      <c r="T814" s="1002"/>
    </row>
    <row r="815" spans="2:20" s="1003" customFormat="1" ht="63.75" x14ac:dyDescent="0.25">
      <c r="B815" s="1106" t="s">
        <v>3229</v>
      </c>
      <c r="C815" s="1000" t="s">
        <v>1488</v>
      </c>
      <c r="D815" s="1025" t="s">
        <v>19</v>
      </c>
      <c r="E815" s="1001">
        <v>100</v>
      </c>
      <c r="F815" s="1001">
        <v>20</v>
      </c>
      <c r="G815" s="1001">
        <f>SUM(G816:G828)</f>
        <v>107400</v>
      </c>
      <c r="H815" s="1001">
        <v>20</v>
      </c>
      <c r="I815" s="1001">
        <f>SUM(I816:I828)</f>
        <v>122500</v>
      </c>
      <c r="J815" s="1001">
        <v>20</v>
      </c>
      <c r="K815" s="1001">
        <f>SUM(K816:K828)</f>
        <v>133700</v>
      </c>
      <c r="L815" s="1001">
        <v>20</v>
      </c>
      <c r="M815" s="1001">
        <f>SUM(M816:M828)</f>
        <v>145900</v>
      </c>
      <c r="N815" s="1001">
        <v>20</v>
      </c>
      <c r="O815" s="1001">
        <f>SUM(O816:O828)</f>
        <v>157600</v>
      </c>
      <c r="P815" s="1001">
        <v>20</v>
      </c>
      <c r="Q815" s="1001">
        <f>SUM(Q816:Q828)</f>
        <v>170500</v>
      </c>
      <c r="R815" s="1001">
        <v>100</v>
      </c>
      <c r="S815" s="1004"/>
      <c r="T815" s="1004"/>
    </row>
    <row r="816" spans="2:20" s="1003" customFormat="1" ht="25.5" x14ac:dyDescent="0.25">
      <c r="B816" s="998" t="s">
        <v>124</v>
      </c>
      <c r="C816" s="1100" t="s">
        <v>3230</v>
      </c>
      <c r="D816" s="1025" t="s">
        <v>40</v>
      </c>
      <c r="E816" s="1001"/>
      <c r="F816" s="1001">
        <v>12</v>
      </c>
      <c r="G816" s="1001">
        <v>1000</v>
      </c>
      <c r="H816" s="1001">
        <v>12</v>
      </c>
      <c r="I816" s="1001">
        <v>1000</v>
      </c>
      <c r="J816" s="1001">
        <v>12</v>
      </c>
      <c r="K816" s="1001">
        <v>1200</v>
      </c>
      <c r="L816" s="1001">
        <v>12</v>
      </c>
      <c r="M816" s="1001">
        <v>1400</v>
      </c>
      <c r="N816" s="1001">
        <v>12</v>
      </c>
      <c r="O816" s="1001">
        <v>1600</v>
      </c>
      <c r="P816" s="1001">
        <v>12</v>
      </c>
      <c r="Q816" s="1001">
        <v>1800</v>
      </c>
      <c r="R816" s="1001"/>
      <c r="S816" s="1004"/>
      <c r="T816" s="1004"/>
    </row>
    <row r="817" spans="2:20" s="1003" customFormat="1" ht="51" x14ac:dyDescent="0.25">
      <c r="B817" s="1005" t="s">
        <v>126</v>
      </c>
      <c r="C817" s="1100" t="s">
        <v>2518</v>
      </c>
      <c r="D817" s="1025" t="s">
        <v>40</v>
      </c>
      <c r="E817" s="1001"/>
      <c r="F817" s="1001">
        <v>12</v>
      </c>
      <c r="G817" s="1001">
        <v>18000</v>
      </c>
      <c r="H817" s="1001">
        <v>12</v>
      </c>
      <c r="I817" s="1001">
        <v>18000</v>
      </c>
      <c r="J817" s="1001">
        <v>12</v>
      </c>
      <c r="K817" s="1001">
        <v>20000</v>
      </c>
      <c r="L817" s="1001">
        <v>12</v>
      </c>
      <c r="M817" s="1001">
        <v>22000</v>
      </c>
      <c r="N817" s="1001">
        <v>12</v>
      </c>
      <c r="O817" s="1001">
        <v>24000</v>
      </c>
      <c r="P817" s="1001">
        <v>12</v>
      </c>
      <c r="Q817" s="1001">
        <v>26000</v>
      </c>
      <c r="R817" s="1001"/>
      <c r="S817" s="1004"/>
      <c r="T817" s="1004"/>
    </row>
    <row r="818" spans="2:20" s="1003" customFormat="1" ht="76.5" x14ac:dyDescent="0.25">
      <c r="B818" s="1005" t="s">
        <v>3231</v>
      </c>
      <c r="C818" s="1100" t="s">
        <v>2519</v>
      </c>
      <c r="D818" s="1025" t="s">
        <v>40</v>
      </c>
      <c r="E818" s="1001"/>
      <c r="F818" s="1001">
        <v>12</v>
      </c>
      <c r="G818" s="1001">
        <v>33000</v>
      </c>
      <c r="H818" s="1001">
        <v>12</v>
      </c>
      <c r="I818" s="1001">
        <v>33000</v>
      </c>
      <c r="J818" s="1001">
        <v>12</v>
      </c>
      <c r="K818" s="1001">
        <v>35000</v>
      </c>
      <c r="L818" s="1001">
        <v>12</v>
      </c>
      <c r="M818" s="1001">
        <v>37000</v>
      </c>
      <c r="N818" s="1001">
        <v>12</v>
      </c>
      <c r="O818" s="1001">
        <v>39000</v>
      </c>
      <c r="P818" s="1001">
        <v>12</v>
      </c>
      <c r="Q818" s="1001">
        <v>41000</v>
      </c>
      <c r="R818" s="1001"/>
      <c r="S818" s="1004"/>
      <c r="T818" s="1004"/>
    </row>
    <row r="819" spans="2:20" s="1003" customFormat="1" ht="38.25" x14ac:dyDescent="0.25">
      <c r="B819" s="1005" t="s">
        <v>45</v>
      </c>
      <c r="C819" s="1100" t="s">
        <v>2520</v>
      </c>
      <c r="D819" s="1025" t="s">
        <v>40</v>
      </c>
      <c r="E819" s="1001"/>
      <c r="F819" s="1001">
        <v>12</v>
      </c>
      <c r="G819" s="1001">
        <v>15000</v>
      </c>
      <c r="H819" s="1001">
        <v>12</v>
      </c>
      <c r="I819" s="1001">
        <v>17000</v>
      </c>
      <c r="J819" s="1001">
        <v>12</v>
      </c>
      <c r="K819" s="1001">
        <v>19000</v>
      </c>
      <c r="L819" s="1001">
        <v>12</v>
      </c>
      <c r="M819" s="1001">
        <v>21000</v>
      </c>
      <c r="N819" s="1001">
        <v>12</v>
      </c>
      <c r="O819" s="1001">
        <v>23000</v>
      </c>
      <c r="P819" s="1001">
        <v>12</v>
      </c>
      <c r="Q819" s="1001">
        <v>25000</v>
      </c>
      <c r="R819" s="1001"/>
      <c r="S819" s="1004"/>
      <c r="T819" s="1004"/>
    </row>
    <row r="820" spans="2:20" s="1003" customFormat="1" ht="38.25" x14ac:dyDescent="0.25">
      <c r="B820" s="1005" t="s">
        <v>47</v>
      </c>
      <c r="C820" s="1100" t="s">
        <v>2521</v>
      </c>
      <c r="D820" s="1025" t="s">
        <v>40</v>
      </c>
      <c r="E820" s="1001"/>
      <c r="F820" s="1001">
        <v>12</v>
      </c>
      <c r="G820" s="1001">
        <v>1200</v>
      </c>
      <c r="H820" s="1001">
        <v>12</v>
      </c>
      <c r="I820" s="1001">
        <v>3500</v>
      </c>
      <c r="J820" s="1001">
        <v>12</v>
      </c>
      <c r="K820" s="1001">
        <v>3500</v>
      </c>
      <c r="L820" s="1001">
        <v>12</v>
      </c>
      <c r="M820" s="1001">
        <v>3500</v>
      </c>
      <c r="N820" s="1001">
        <v>12</v>
      </c>
      <c r="O820" s="1001">
        <v>3500</v>
      </c>
      <c r="P820" s="1001">
        <v>12</v>
      </c>
      <c r="Q820" s="1001">
        <v>3700</v>
      </c>
      <c r="R820" s="1001"/>
      <c r="S820" s="1004"/>
      <c r="T820" s="1004"/>
    </row>
    <row r="821" spans="2:20" s="1003" customFormat="1" ht="51" x14ac:dyDescent="0.25">
      <c r="B821" s="1005" t="s">
        <v>923</v>
      </c>
      <c r="C821" s="1100" t="s">
        <v>2522</v>
      </c>
      <c r="D821" s="1025" t="s">
        <v>40</v>
      </c>
      <c r="E821" s="1001"/>
      <c r="F821" s="1001">
        <v>12</v>
      </c>
      <c r="G821" s="1001">
        <v>5000</v>
      </c>
      <c r="H821" s="1001">
        <v>12</v>
      </c>
      <c r="I821" s="1001">
        <v>8500</v>
      </c>
      <c r="J821" s="1001">
        <v>12</v>
      </c>
      <c r="K821" s="1001">
        <v>8500</v>
      </c>
      <c r="L821" s="1001">
        <v>12</v>
      </c>
      <c r="M821" s="1001">
        <v>8500</v>
      </c>
      <c r="N821" s="1001">
        <v>12</v>
      </c>
      <c r="O821" s="1001">
        <v>9000</v>
      </c>
      <c r="P821" s="1001">
        <v>12</v>
      </c>
      <c r="Q821" s="1001">
        <v>10000</v>
      </c>
      <c r="R821" s="1001"/>
      <c r="S821" s="1004"/>
      <c r="T821" s="1004"/>
    </row>
    <row r="822" spans="2:20" s="1003" customFormat="1" ht="38.25" x14ac:dyDescent="0.25">
      <c r="B822" s="1005" t="s">
        <v>50</v>
      </c>
      <c r="C822" s="1100" t="s">
        <v>2523</v>
      </c>
      <c r="D822" s="1025" t="s">
        <v>40</v>
      </c>
      <c r="E822" s="1001"/>
      <c r="F822" s="1001">
        <v>12</v>
      </c>
      <c r="G822" s="1001">
        <v>7500</v>
      </c>
      <c r="H822" s="1001">
        <v>12</v>
      </c>
      <c r="I822" s="1001">
        <v>7500</v>
      </c>
      <c r="J822" s="1001">
        <v>12</v>
      </c>
      <c r="K822" s="1001">
        <v>8500</v>
      </c>
      <c r="L822" s="1001">
        <v>12</v>
      </c>
      <c r="M822" s="1001">
        <v>9500</v>
      </c>
      <c r="N822" s="1001">
        <v>12</v>
      </c>
      <c r="O822" s="1001">
        <v>10500</v>
      </c>
      <c r="P822" s="1001">
        <v>12</v>
      </c>
      <c r="Q822" s="1001">
        <v>11500</v>
      </c>
      <c r="R822" s="1001"/>
      <c r="S822" s="1004"/>
      <c r="T822" s="1004"/>
    </row>
    <row r="823" spans="2:20" s="1003" customFormat="1" ht="51" x14ac:dyDescent="0.25">
      <c r="B823" s="1005" t="s">
        <v>52</v>
      </c>
      <c r="C823" s="1100" t="s">
        <v>2524</v>
      </c>
      <c r="D823" s="1025" t="s">
        <v>40</v>
      </c>
      <c r="E823" s="1001"/>
      <c r="F823" s="1001">
        <v>12</v>
      </c>
      <c r="G823" s="1001">
        <v>2500</v>
      </c>
      <c r="H823" s="1001">
        <v>12</v>
      </c>
      <c r="I823" s="1001">
        <v>4000</v>
      </c>
      <c r="J823" s="1001">
        <v>12</v>
      </c>
      <c r="K823" s="1001">
        <v>5000</v>
      </c>
      <c r="L823" s="1001">
        <v>12</v>
      </c>
      <c r="M823" s="1001">
        <v>6000</v>
      </c>
      <c r="N823" s="1001">
        <v>12</v>
      </c>
      <c r="O823" s="1001">
        <v>6000</v>
      </c>
      <c r="P823" s="1001">
        <v>12</v>
      </c>
      <c r="Q823" s="1001">
        <v>6000</v>
      </c>
      <c r="R823" s="1001"/>
      <c r="S823" s="1004"/>
      <c r="T823" s="1004"/>
    </row>
    <row r="824" spans="2:20" s="1003" customFormat="1" ht="76.5" x14ac:dyDescent="0.25">
      <c r="B824" s="1005" t="s">
        <v>782</v>
      </c>
      <c r="C824" s="1100" t="s">
        <v>2525</v>
      </c>
      <c r="D824" s="1025" t="s">
        <v>40</v>
      </c>
      <c r="E824" s="1001"/>
      <c r="F824" s="1001">
        <v>12</v>
      </c>
      <c r="G824" s="1001">
        <v>1000</v>
      </c>
      <c r="H824" s="1001">
        <v>12</v>
      </c>
      <c r="I824" s="1001">
        <v>3500</v>
      </c>
      <c r="J824" s="1001">
        <v>12</v>
      </c>
      <c r="K824" s="1001">
        <v>3500</v>
      </c>
      <c r="L824" s="1001">
        <v>12</v>
      </c>
      <c r="M824" s="1001">
        <v>3500</v>
      </c>
      <c r="N824" s="1001">
        <v>12</v>
      </c>
      <c r="O824" s="1001">
        <v>4000</v>
      </c>
      <c r="P824" s="1001">
        <v>12</v>
      </c>
      <c r="Q824" s="1001">
        <v>5000</v>
      </c>
      <c r="R824" s="1001"/>
      <c r="S824" s="1004"/>
      <c r="T824" s="1004"/>
    </row>
    <row r="825" spans="2:20" s="1003" customFormat="1" ht="63.75" x14ac:dyDescent="0.25">
      <c r="B825" s="1005" t="s">
        <v>3232</v>
      </c>
      <c r="C825" s="1100" t="s">
        <v>2526</v>
      </c>
      <c r="D825" s="1025" t="s">
        <v>40</v>
      </c>
      <c r="E825" s="1001"/>
      <c r="F825" s="1001">
        <v>12</v>
      </c>
      <c r="G825" s="1001">
        <v>1200</v>
      </c>
      <c r="H825" s="1001">
        <v>12</v>
      </c>
      <c r="I825" s="1001">
        <v>2000</v>
      </c>
      <c r="J825" s="1001">
        <v>12</v>
      </c>
      <c r="K825" s="1001">
        <v>2500</v>
      </c>
      <c r="L825" s="1001">
        <v>12</v>
      </c>
      <c r="M825" s="1001">
        <v>3000</v>
      </c>
      <c r="N825" s="1001">
        <v>12</v>
      </c>
      <c r="O825" s="1001">
        <v>3000</v>
      </c>
      <c r="P825" s="1001">
        <v>12</v>
      </c>
      <c r="Q825" s="1001">
        <v>4000</v>
      </c>
      <c r="R825" s="1001"/>
      <c r="S825" s="1004"/>
      <c r="T825" s="1004"/>
    </row>
    <row r="826" spans="2:20" s="1003" customFormat="1" ht="38.25" x14ac:dyDescent="0.25">
      <c r="B826" s="1005" t="s">
        <v>58</v>
      </c>
      <c r="C826" s="1100" t="s">
        <v>2527</v>
      </c>
      <c r="D826" s="1025" t="s">
        <v>40</v>
      </c>
      <c r="E826" s="1001"/>
      <c r="F826" s="1001">
        <v>12</v>
      </c>
      <c r="G826" s="1001">
        <v>8500</v>
      </c>
      <c r="H826" s="1001">
        <v>12</v>
      </c>
      <c r="I826" s="1001">
        <v>9500</v>
      </c>
      <c r="J826" s="1001">
        <v>12</v>
      </c>
      <c r="K826" s="1001">
        <v>10000</v>
      </c>
      <c r="L826" s="1001">
        <v>12</v>
      </c>
      <c r="M826" s="1001">
        <v>11500</v>
      </c>
      <c r="N826" s="1001">
        <v>12</v>
      </c>
      <c r="O826" s="1001">
        <v>13000</v>
      </c>
      <c r="P826" s="1001">
        <v>12</v>
      </c>
      <c r="Q826" s="1001">
        <v>14500</v>
      </c>
      <c r="R826" s="1001"/>
      <c r="S826" s="1004"/>
      <c r="T826" s="1004"/>
    </row>
    <row r="827" spans="2:20" s="1003" customFormat="1" ht="51" x14ac:dyDescent="0.25">
      <c r="B827" s="1005" t="s">
        <v>3233</v>
      </c>
      <c r="C827" s="1100" t="s">
        <v>2529</v>
      </c>
      <c r="D827" s="1025" t="s">
        <v>40</v>
      </c>
      <c r="E827" s="1001"/>
      <c r="F827" s="1001">
        <v>12</v>
      </c>
      <c r="G827" s="1001">
        <v>12000</v>
      </c>
      <c r="H827" s="1001">
        <v>12</v>
      </c>
      <c r="I827" s="1001">
        <v>13000</v>
      </c>
      <c r="J827" s="1001">
        <v>12</v>
      </c>
      <c r="K827" s="1001">
        <v>14000</v>
      </c>
      <c r="L827" s="1001">
        <v>12</v>
      </c>
      <c r="M827" s="1001">
        <v>15000</v>
      </c>
      <c r="N827" s="1001">
        <v>12</v>
      </c>
      <c r="O827" s="1001">
        <v>16000</v>
      </c>
      <c r="P827" s="1001">
        <v>12</v>
      </c>
      <c r="Q827" s="1001">
        <v>17000</v>
      </c>
      <c r="R827" s="1001"/>
      <c r="S827" s="1004"/>
      <c r="T827" s="1004"/>
    </row>
    <row r="828" spans="2:20" s="1003" customFormat="1" ht="51" x14ac:dyDescent="0.25">
      <c r="B828" s="1102" t="s">
        <v>137</v>
      </c>
      <c r="C828" s="1100" t="s">
        <v>2528</v>
      </c>
      <c r="D828" s="1025" t="s">
        <v>40</v>
      </c>
      <c r="E828" s="1001"/>
      <c r="F828" s="1001">
        <v>12</v>
      </c>
      <c r="G828" s="1001">
        <v>1500</v>
      </c>
      <c r="H828" s="1001">
        <v>12</v>
      </c>
      <c r="I828" s="1001">
        <v>2000</v>
      </c>
      <c r="J828" s="1001">
        <v>12</v>
      </c>
      <c r="K828" s="1001">
        <v>3000</v>
      </c>
      <c r="L828" s="1001">
        <v>12</v>
      </c>
      <c r="M828" s="1001">
        <v>4000</v>
      </c>
      <c r="N828" s="1001">
        <v>12</v>
      </c>
      <c r="O828" s="1001">
        <v>5000</v>
      </c>
      <c r="P828" s="1001">
        <v>12</v>
      </c>
      <c r="Q828" s="1001">
        <v>5000</v>
      </c>
      <c r="R828" s="1001"/>
      <c r="S828" s="1004"/>
      <c r="T828" s="1004"/>
    </row>
    <row r="829" spans="2:20" s="1003" customFormat="1" ht="38.25" x14ac:dyDescent="0.25">
      <c r="B829" s="2121" t="s">
        <v>65</v>
      </c>
      <c r="C829" s="999" t="s">
        <v>3234</v>
      </c>
      <c r="D829" s="1015" t="s">
        <v>19</v>
      </c>
      <c r="E829" s="1001">
        <v>70</v>
      </c>
      <c r="F829" s="1001">
        <v>3</v>
      </c>
      <c r="G829" s="2114">
        <f>SUM(G831:G835)</f>
        <v>87308</v>
      </c>
      <c r="H829" s="1001">
        <v>2</v>
      </c>
      <c r="I829" s="2114">
        <f>SUM(I831:I835)</f>
        <v>77046</v>
      </c>
      <c r="J829" s="1001">
        <v>3</v>
      </c>
      <c r="K829" s="2114">
        <f>SUM(K831:K835)</f>
        <v>86500</v>
      </c>
      <c r="L829" s="1001">
        <v>2</v>
      </c>
      <c r="M829" s="2114">
        <f>SUM(M831:M835)</f>
        <v>92500</v>
      </c>
      <c r="N829" s="1001">
        <v>3</v>
      </c>
      <c r="O829" s="2114">
        <f>SUM(O831:O835)</f>
        <v>94500</v>
      </c>
      <c r="P829" s="1001">
        <v>2</v>
      </c>
      <c r="Q829" s="2114">
        <f>SUM(Q831:Q835)</f>
        <v>95500</v>
      </c>
      <c r="R829" s="1001">
        <f>E829+F829+H829+J829+L829+N829</f>
        <v>83</v>
      </c>
      <c r="S829" s="1004"/>
      <c r="T829" s="1004"/>
    </row>
    <row r="830" spans="2:20" s="1003" customFormat="1" ht="38.25" x14ac:dyDescent="0.25">
      <c r="B830" s="2121"/>
      <c r="C830" s="999" t="s">
        <v>3235</v>
      </c>
      <c r="D830" s="1015" t="s">
        <v>19</v>
      </c>
      <c r="E830" s="1001">
        <v>100</v>
      </c>
      <c r="F830" s="1001">
        <v>100</v>
      </c>
      <c r="G830" s="2114"/>
      <c r="H830" s="1001">
        <v>100</v>
      </c>
      <c r="I830" s="2114"/>
      <c r="J830" s="1001">
        <v>100</v>
      </c>
      <c r="K830" s="2114"/>
      <c r="L830" s="1001">
        <v>100</v>
      </c>
      <c r="M830" s="2114"/>
      <c r="N830" s="1001">
        <v>100</v>
      </c>
      <c r="O830" s="2114"/>
      <c r="P830" s="1001">
        <v>100</v>
      </c>
      <c r="Q830" s="2114"/>
      <c r="R830" s="1001">
        <v>100</v>
      </c>
      <c r="S830" s="1004"/>
      <c r="T830" s="1004"/>
    </row>
    <row r="831" spans="2:20" s="1003" customFormat="1" ht="38.25" x14ac:dyDescent="0.25">
      <c r="B831" s="1007" t="s">
        <v>144</v>
      </c>
      <c r="C831" s="999" t="s">
        <v>3408</v>
      </c>
      <c r="D831" s="1015" t="s">
        <v>69</v>
      </c>
      <c r="E831" s="1001"/>
      <c r="F831" s="1001">
        <v>0</v>
      </c>
      <c r="G831" s="1001"/>
      <c r="H831" s="1001">
        <v>0</v>
      </c>
      <c r="I831" s="1001"/>
      <c r="J831" s="1001">
        <v>0</v>
      </c>
      <c r="K831" s="1001"/>
      <c r="L831" s="1001">
        <v>0</v>
      </c>
      <c r="M831" s="1001"/>
      <c r="N831" s="1001">
        <v>0</v>
      </c>
      <c r="O831" s="1001"/>
      <c r="P831" s="1001">
        <v>0</v>
      </c>
      <c r="Q831" s="1001"/>
      <c r="R831" s="1001"/>
      <c r="S831" s="1004"/>
      <c r="T831" s="1004"/>
    </row>
    <row r="832" spans="2:20" s="1003" customFormat="1" ht="25.5" x14ac:dyDescent="0.25">
      <c r="B832" s="998" t="s">
        <v>3236</v>
      </c>
      <c r="C832" s="1000" t="s">
        <v>3409</v>
      </c>
      <c r="D832" s="1025" t="s">
        <v>75</v>
      </c>
      <c r="E832" s="1001"/>
      <c r="F832" s="1001">
        <v>10</v>
      </c>
      <c r="G832" s="1001">
        <v>12500</v>
      </c>
      <c r="H832" s="1001">
        <v>10</v>
      </c>
      <c r="I832" s="1001">
        <v>12500</v>
      </c>
      <c r="J832" s="1001">
        <v>10</v>
      </c>
      <c r="K832" s="1001">
        <v>12500</v>
      </c>
      <c r="L832" s="1001">
        <v>10</v>
      </c>
      <c r="M832" s="1001">
        <v>12500</v>
      </c>
      <c r="N832" s="1001">
        <v>10</v>
      </c>
      <c r="O832" s="1001">
        <v>12500</v>
      </c>
      <c r="P832" s="1001">
        <v>10</v>
      </c>
      <c r="Q832" s="1001">
        <v>12500</v>
      </c>
      <c r="R832" s="1001"/>
      <c r="S832" s="1004"/>
      <c r="T832" s="1004"/>
    </row>
    <row r="833" spans="2:20" s="1003" customFormat="1" ht="38.25" x14ac:dyDescent="0.25">
      <c r="B833" s="998" t="s">
        <v>3238</v>
      </c>
      <c r="C833" s="1000" t="s">
        <v>3523</v>
      </c>
      <c r="D833" s="1025" t="s">
        <v>75</v>
      </c>
      <c r="E833" s="1001"/>
      <c r="F833" s="1001">
        <v>1</v>
      </c>
      <c r="G833" s="1001">
        <v>21500</v>
      </c>
      <c r="H833" s="1001">
        <v>1</v>
      </c>
      <c r="I833" s="1001">
        <v>21500</v>
      </c>
      <c r="J833" s="1001">
        <v>1</v>
      </c>
      <c r="K833" s="1001">
        <v>23000</v>
      </c>
      <c r="L833" s="1001">
        <v>1</v>
      </c>
      <c r="M833" s="1001">
        <v>24000</v>
      </c>
      <c r="N833" s="1001">
        <v>1</v>
      </c>
      <c r="O833" s="1001">
        <v>25000</v>
      </c>
      <c r="P833" s="1001">
        <v>1</v>
      </c>
      <c r="Q833" s="1001">
        <v>26000</v>
      </c>
      <c r="R833" s="1001"/>
      <c r="S833" s="1004"/>
      <c r="T833" s="1004"/>
    </row>
    <row r="834" spans="2:20" s="1003" customFormat="1" ht="38.25" x14ac:dyDescent="0.25">
      <c r="B834" s="1007" t="s">
        <v>3240</v>
      </c>
      <c r="C834" s="999" t="s">
        <v>3241</v>
      </c>
      <c r="D834" s="1015" t="s">
        <v>40</v>
      </c>
      <c r="E834" s="1001"/>
      <c r="F834" s="1001">
        <v>12</v>
      </c>
      <c r="G834" s="1001">
        <v>3000</v>
      </c>
      <c r="H834" s="1001">
        <v>12</v>
      </c>
      <c r="I834" s="1001">
        <v>3000</v>
      </c>
      <c r="J834" s="1001">
        <v>12</v>
      </c>
      <c r="K834" s="1001">
        <v>6000</v>
      </c>
      <c r="L834" s="1001">
        <v>12</v>
      </c>
      <c r="M834" s="1001">
        <v>6000</v>
      </c>
      <c r="N834" s="1001">
        <v>12</v>
      </c>
      <c r="O834" s="1001">
        <v>7000</v>
      </c>
      <c r="P834" s="1001">
        <v>12</v>
      </c>
      <c r="Q834" s="1001">
        <v>7000</v>
      </c>
      <c r="R834" s="1001"/>
      <c r="S834" s="1004"/>
      <c r="T834" s="1004"/>
    </row>
    <row r="835" spans="2:20" s="1003" customFormat="1" ht="38.25" x14ac:dyDescent="0.25">
      <c r="B835" s="1007" t="s">
        <v>3242</v>
      </c>
      <c r="C835" s="999" t="s">
        <v>3160</v>
      </c>
      <c r="D835" s="1015" t="s">
        <v>40</v>
      </c>
      <c r="E835" s="1001"/>
      <c r="F835" s="1001">
        <v>12</v>
      </c>
      <c r="G835" s="1001">
        <v>50308</v>
      </c>
      <c r="H835" s="1001">
        <v>12</v>
      </c>
      <c r="I835" s="1001">
        <v>40046</v>
      </c>
      <c r="J835" s="1001">
        <v>12</v>
      </c>
      <c r="K835" s="1001">
        <v>45000</v>
      </c>
      <c r="L835" s="1001">
        <v>12</v>
      </c>
      <c r="M835" s="1001">
        <v>50000</v>
      </c>
      <c r="N835" s="1001">
        <v>12</v>
      </c>
      <c r="O835" s="1001">
        <v>50000</v>
      </c>
      <c r="P835" s="1001">
        <v>12</v>
      </c>
      <c r="Q835" s="1001">
        <v>50000</v>
      </c>
      <c r="R835" s="1001"/>
      <c r="S835" s="1004"/>
      <c r="T835" s="1004"/>
    </row>
    <row r="836" spans="2:20" s="1003" customFormat="1" ht="63.75" x14ac:dyDescent="0.25">
      <c r="B836" s="1106" t="s">
        <v>3245</v>
      </c>
      <c r="C836" s="1000" t="s">
        <v>3246</v>
      </c>
      <c r="D836" s="1025" t="s">
        <v>79</v>
      </c>
      <c r="E836" s="1001">
        <v>10</v>
      </c>
      <c r="F836" s="1001">
        <f>F837</f>
        <v>2</v>
      </c>
      <c r="G836" s="1001">
        <f>G837</f>
        <v>3000</v>
      </c>
      <c r="H836" s="1001">
        <f t="shared" ref="H836:Q836" si="78">H837</f>
        <v>2</v>
      </c>
      <c r="I836" s="1001">
        <f t="shared" si="78"/>
        <v>3000</v>
      </c>
      <c r="J836" s="1001">
        <f t="shared" si="78"/>
        <v>2</v>
      </c>
      <c r="K836" s="1001">
        <f t="shared" si="78"/>
        <v>4000</v>
      </c>
      <c r="L836" s="1001">
        <f t="shared" si="78"/>
        <v>2</v>
      </c>
      <c r="M836" s="1001">
        <f t="shared" si="78"/>
        <v>4000</v>
      </c>
      <c r="N836" s="1001">
        <f t="shared" si="78"/>
        <v>2</v>
      </c>
      <c r="O836" s="1001">
        <f t="shared" si="78"/>
        <v>4000</v>
      </c>
      <c r="P836" s="1001">
        <f t="shared" si="78"/>
        <v>2</v>
      </c>
      <c r="Q836" s="1001">
        <f t="shared" si="78"/>
        <v>4000</v>
      </c>
      <c r="R836" s="1001">
        <f>E836+F836+H836+J836+L836+N836</f>
        <v>20</v>
      </c>
      <c r="S836" s="1004"/>
      <c r="T836" s="1004"/>
    </row>
    <row r="837" spans="2:20" s="1003" customFormat="1" ht="102" x14ac:dyDescent="0.25">
      <c r="B837" s="998" t="s">
        <v>80</v>
      </c>
      <c r="C837" s="1000" t="s">
        <v>3247</v>
      </c>
      <c r="D837" s="1025" t="s">
        <v>79</v>
      </c>
      <c r="E837" s="1001"/>
      <c r="F837" s="1001">
        <v>2</v>
      </c>
      <c r="G837" s="1001">
        <v>3000</v>
      </c>
      <c r="H837" s="1001">
        <v>2</v>
      </c>
      <c r="I837" s="1001">
        <v>3000</v>
      </c>
      <c r="J837" s="1001">
        <v>2</v>
      </c>
      <c r="K837" s="1001">
        <v>4000</v>
      </c>
      <c r="L837" s="1001">
        <v>2</v>
      </c>
      <c r="M837" s="1001">
        <v>4000</v>
      </c>
      <c r="N837" s="1001">
        <v>2</v>
      </c>
      <c r="O837" s="1001">
        <v>4000</v>
      </c>
      <c r="P837" s="1001">
        <v>2</v>
      </c>
      <c r="Q837" s="1001">
        <v>4000</v>
      </c>
      <c r="R837" s="1001"/>
      <c r="S837" s="1004"/>
      <c r="T837" s="1004"/>
    </row>
    <row r="838" spans="2:20" s="1003" customFormat="1" ht="48" x14ac:dyDescent="0.25">
      <c r="B838" s="1106" t="s">
        <v>3248</v>
      </c>
      <c r="C838" s="1000" t="s">
        <v>3249</v>
      </c>
      <c r="D838" s="1025" t="s">
        <v>79</v>
      </c>
      <c r="E838" s="1001">
        <v>5</v>
      </c>
      <c r="F838" s="1001">
        <v>1</v>
      </c>
      <c r="G838" s="1001">
        <f>G839</f>
        <v>7700</v>
      </c>
      <c r="H838" s="1001">
        <f t="shared" ref="H838:Q838" si="79">H839</f>
        <v>2</v>
      </c>
      <c r="I838" s="1001">
        <f t="shared" si="79"/>
        <v>8500</v>
      </c>
      <c r="J838" s="1001">
        <f t="shared" si="79"/>
        <v>2</v>
      </c>
      <c r="K838" s="1001">
        <f t="shared" si="79"/>
        <v>8500</v>
      </c>
      <c r="L838" s="1001">
        <f t="shared" si="79"/>
        <v>2</v>
      </c>
      <c r="M838" s="1001">
        <f t="shared" si="79"/>
        <v>8500</v>
      </c>
      <c r="N838" s="1001">
        <f t="shared" si="79"/>
        <v>2</v>
      </c>
      <c r="O838" s="1001">
        <f t="shared" si="79"/>
        <v>9000</v>
      </c>
      <c r="P838" s="1001">
        <f t="shared" si="79"/>
        <v>2</v>
      </c>
      <c r="Q838" s="1001">
        <f t="shared" si="79"/>
        <v>9500</v>
      </c>
      <c r="R838" s="1001">
        <f>E838+F838+H838+J838+L838+N838</f>
        <v>14</v>
      </c>
      <c r="S838" s="1004"/>
      <c r="T838" s="1004"/>
    </row>
    <row r="839" spans="2:20" s="1003" customFormat="1" ht="63.75" x14ac:dyDescent="0.25">
      <c r="B839" s="998" t="s">
        <v>1712</v>
      </c>
      <c r="C839" s="1000" t="s">
        <v>3250</v>
      </c>
      <c r="D839" s="1025"/>
      <c r="E839" s="1001"/>
      <c r="F839" s="1001">
        <v>1</v>
      </c>
      <c r="G839" s="1001">
        <v>7700</v>
      </c>
      <c r="H839" s="1001">
        <v>2</v>
      </c>
      <c r="I839" s="1001">
        <v>8500</v>
      </c>
      <c r="J839" s="1001">
        <v>2</v>
      </c>
      <c r="K839" s="1001">
        <v>8500</v>
      </c>
      <c r="L839" s="1001">
        <v>2</v>
      </c>
      <c r="M839" s="1001">
        <v>8500</v>
      </c>
      <c r="N839" s="1001">
        <v>2</v>
      </c>
      <c r="O839" s="1001">
        <v>9000</v>
      </c>
      <c r="P839" s="1001">
        <v>2</v>
      </c>
      <c r="Q839" s="1001">
        <v>9500</v>
      </c>
      <c r="R839" s="1001"/>
      <c r="S839" s="1004"/>
      <c r="T839" s="1004"/>
    </row>
    <row r="840" spans="2:20" s="1003" customFormat="1" ht="63.75" customHeight="1" x14ac:dyDescent="0.25">
      <c r="B840" s="2122" t="s">
        <v>3251</v>
      </c>
      <c r="C840" s="1000" t="s">
        <v>3252</v>
      </c>
      <c r="D840" s="1025" t="s">
        <v>79</v>
      </c>
      <c r="E840" s="1001">
        <v>5</v>
      </c>
      <c r="F840" s="1001">
        <v>1</v>
      </c>
      <c r="G840" s="2114">
        <f>SUM(G842:G842)</f>
        <v>17100</v>
      </c>
      <c r="H840" s="1001">
        <v>1</v>
      </c>
      <c r="I840" s="2114">
        <f>SUM(I842:I842)</f>
        <v>18000</v>
      </c>
      <c r="J840" s="1001">
        <v>1</v>
      </c>
      <c r="K840" s="2114">
        <f>SUM(K842:K842)</f>
        <v>19000</v>
      </c>
      <c r="L840" s="1001">
        <v>1</v>
      </c>
      <c r="M840" s="2114">
        <f>SUM(M842:M842)</f>
        <v>21000</v>
      </c>
      <c r="N840" s="1001">
        <v>1</v>
      </c>
      <c r="O840" s="2114">
        <f>SUM(O842:O842)</f>
        <v>22000</v>
      </c>
      <c r="P840" s="1001">
        <v>1</v>
      </c>
      <c r="Q840" s="2114">
        <f>SUM(Q842:Q842)</f>
        <v>22000</v>
      </c>
      <c r="R840" s="1001">
        <f>E840+F840+H840+J840+L840+N840</f>
        <v>10</v>
      </c>
      <c r="S840" s="1004"/>
      <c r="T840" s="1004"/>
    </row>
    <row r="841" spans="2:20" s="1003" customFormat="1" ht="38.25" x14ac:dyDescent="0.25">
      <c r="B841" s="2122"/>
      <c r="C841" s="1000" t="s">
        <v>3253</v>
      </c>
      <c r="D841" s="1025" t="s">
        <v>79</v>
      </c>
      <c r="E841" s="1001">
        <v>5</v>
      </c>
      <c r="F841" s="1001">
        <v>1</v>
      </c>
      <c r="G841" s="2114"/>
      <c r="H841" s="1001">
        <v>1</v>
      </c>
      <c r="I841" s="2114"/>
      <c r="J841" s="1001">
        <v>1</v>
      </c>
      <c r="K841" s="2114"/>
      <c r="L841" s="1001">
        <v>1</v>
      </c>
      <c r="M841" s="2114"/>
      <c r="N841" s="1001">
        <v>1</v>
      </c>
      <c r="O841" s="2114"/>
      <c r="P841" s="1001">
        <v>1</v>
      </c>
      <c r="Q841" s="2114"/>
      <c r="R841" s="1001">
        <f>E841+F841+H841+J841+L841+N841</f>
        <v>10</v>
      </c>
      <c r="S841" s="1004"/>
      <c r="T841" s="1004"/>
    </row>
    <row r="842" spans="2:20" s="1003" customFormat="1" ht="38.25" x14ac:dyDescent="0.25">
      <c r="B842" s="998" t="s">
        <v>3254</v>
      </c>
      <c r="C842" s="1000" t="s">
        <v>3255</v>
      </c>
      <c r="D842" s="1025" t="s">
        <v>103</v>
      </c>
      <c r="E842" s="1001"/>
      <c r="F842" s="1001">
        <v>2</v>
      </c>
      <c r="G842" s="1001">
        <v>17100</v>
      </c>
      <c r="H842" s="1001">
        <v>2</v>
      </c>
      <c r="I842" s="1001">
        <v>18000</v>
      </c>
      <c r="J842" s="1001">
        <v>2</v>
      </c>
      <c r="K842" s="1001">
        <v>19000</v>
      </c>
      <c r="L842" s="1001">
        <v>2</v>
      </c>
      <c r="M842" s="1001">
        <v>21000</v>
      </c>
      <c r="N842" s="1001">
        <v>2</v>
      </c>
      <c r="O842" s="1001">
        <v>22000</v>
      </c>
      <c r="P842" s="1001">
        <v>2</v>
      </c>
      <c r="Q842" s="1001">
        <v>22000</v>
      </c>
      <c r="R842" s="1001"/>
      <c r="S842" s="1004"/>
      <c r="T842" s="1004"/>
    </row>
    <row r="843" spans="2:20" s="1003" customFormat="1" ht="51" x14ac:dyDescent="0.25">
      <c r="B843" s="1106" t="s">
        <v>3420</v>
      </c>
      <c r="C843" s="1000" t="s">
        <v>3386</v>
      </c>
      <c r="D843" s="1025" t="s">
        <v>19</v>
      </c>
      <c r="E843" s="1001">
        <v>100</v>
      </c>
      <c r="F843" s="1001">
        <v>100</v>
      </c>
      <c r="G843" s="1001">
        <f>G844</f>
        <v>56000</v>
      </c>
      <c r="H843" s="1001">
        <v>100</v>
      </c>
      <c r="I843" s="1001">
        <f>I844</f>
        <v>58000</v>
      </c>
      <c r="J843" s="1001">
        <v>100</v>
      </c>
      <c r="K843" s="1001">
        <f>K844</f>
        <v>60000</v>
      </c>
      <c r="L843" s="1001">
        <v>100</v>
      </c>
      <c r="M843" s="1001">
        <f>M844</f>
        <v>62000</v>
      </c>
      <c r="N843" s="1001">
        <v>100</v>
      </c>
      <c r="O843" s="1001">
        <f>O844</f>
        <v>64000</v>
      </c>
      <c r="P843" s="1001">
        <v>100</v>
      </c>
      <c r="Q843" s="1001">
        <f>Q844</f>
        <v>66000</v>
      </c>
      <c r="R843" s="1001">
        <v>100</v>
      </c>
      <c r="S843" s="1004"/>
      <c r="T843" s="1004"/>
    </row>
    <row r="844" spans="2:20" s="1003" customFormat="1" ht="25.5" x14ac:dyDescent="0.25">
      <c r="B844" s="998" t="s">
        <v>3421</v>
      </c>
      <c r="C844" s="1000" t="s">
        <v>3422</v>
      </c>
      <c r="D844" s="1025" t="s">
        <v>40</v>
      </c>
      <c r="E844" s="1001"/>
      <c r="F844" s="1001">
        <v>12</v>
      </c>
      <c r="G844" s="1001">
        <v>56000</v>
      </c>
      <c r="H844" s="1001">
        <v>12</v>
      </c>
      <c r="I844" s="1001">
        <v>58000</v>
      </c>
      <c r="J844" s="1001">
        <v>12</v>
      </c>
      <c r="K844" s="1001">
        <v>60000</v>
      </c>
      <c r="L844" s="1001">
        <v>12</v>
      </c>
      <c r="M844" s="1001">
        <v>62000</v>
      </c>
      <c r="N844" s="1001">
        <v>12</v>
      </c>
      <c r="O844" s="1001">
        <v>64000</v>
      </c>
      <c r="P844" s="1001">
        <v>12</v>
      </c>
      <c r="Q844" s="1001">
        <v>66000</v>
      </c>
      <c r="R844" s="1001"/>
      <c r="S844" s="1004"/>
      <c r="T844" s="1004"/>
    </row>
    <row r="845" spans="2:20" s="1003" customFormat="1" ht="84" x14ac:dyDescent="0.25">
      <c r="B845" s="1106" t="s">
        <v>1743</v>
      </c>
      <c r="C845" s="1000" t="s">
        <v>3265</v>
      </c>
      <c r="D845" s="1025" t="s">
        <v>19</v>
      </c>
      <c r="E845" s="1001">
        <v>50</v>
      </c>
      <c r="F845" s="1001">
        <v>60</v>
      </c>
      <c r="G845" s="1001">
        <f>SUM(G846:G847)</f>
        <v>38200</v>
      </c>
      <c r="H845" s="1001">
        <v>70</v>
      </c>
      <c r="I845" s="1001">
        <f>SUM(I846:I847)</f>
        <v>38500</v>
      </c>
      <c r="J845" s="1001">
        <v>80</v>
      </c>
      <c r="K845" s="1001">
        <f>SUM(K846:K847)</f>
        <v>43000</v>
      </c>
      <c r="L845" s="1001">
        <v>90</v>
      </c>
      <c r="M845" s="1001">
        <f>SUM(M846:M847)</f>
        <v>47500</v>
      </c>
      <c r="N845" s="1001">
        <v>100</v>
      </c>
      <c r="O845" s="1001">
        <f>SUM(O846:O847)</f>
        <v>52000</v>
      </c>
      <c r="P845" s="1001">
        <v>100</v>
      </c>
      <c r="Q845" s="1001">
        <f>SUM(Q846:Q847)</f>
        <v>56500</v>
      </c>
      <c r="R845" s="1001">
        <v>100</v>
      </c>
      <c r="S845" s="1004"/>
      <c r="T845" s="1004"/>
    </row>
    <row r="846" spans="2:20" s="1003" customFormat="1" ht="25.5" x14ac:dyDescent="0.25">
      <c r="B846" s="998" t="s">
        <v>3266</v>
      </c>
      <c r="C846" s="1000" t="s">
        <v>3267</v>
      </c>
      <c r="D846" s="1025" t="s">
        <v>103</v>
      </c>
      <c r="E846" s="1001"/>
      <c r="F846" s="1001">
        <v>19</v>
      </c>
      <c r="G846" s="1001">
        <v>28700</v>
      </c>
      <c r="H846" s="1001">
        <v>19</v>
      </c>
      <c r="I846" s="1001">
        <v>29000</v>
      </c>
      <c r="J846" s="1001">
        <v>19</v>
      </c>
      <c r="K846" s="1001">
        <v>32000</v>
      </c>
      <c r="L846" s="1001">
        <v>19</v>
      </c>
      <c r="M846" s="1001">
        <v>35000</v>
      </c>
      <c r="N846" s="1001">
        <v>19</v>
      </c>
      <c r="O846" s="1001">
        <v>38000</v>
      </c>
      <c r="P846" s="1001">
        <v>19</v>
      </c>
      <c r="Q846" s="1001">
        <v>41000</v>
      </c>
      <c r="R846" s="1001"/>
      <c r="S846" s="1004"/>
      <c r="T846" s="1004"/>
    </row>
    <row r="847" spans="2:20" s="1003" customFormat="1" ht="76.5" x14ac:dyDescent="0.25">
      <c r="B847" s="998" t="s">
        <v>3390</v>
      </c>
      <c r="C847" s="1000" t="s">
        <v>3273</v>
      </c>
      <c r="D847" s="1025" t="s">
        <v>103</v>
      </c>
      <c r="E847" s="1001"/>
      <c r="F847" s="1001">
        <v>19</v>
      </c>
      <c r="G847" s="1001">
        <v>9500</v>
      </c>
      <c r="H847" s="1001">
        <v>19</v>
      </c>
      <c r="I847" s="1001">
        <v>9500</v>
      </c>
      <c r="J847" s="1001">
        <v>19</v>
      </c>
      <c r="K847" s="1001">
        <v>11000</v>
      </c>
      <c r="L847" s="1001">
        <v>19</v>
      </c>
      <c r="M847" s="1001">
        <v>12500</v>
      </c>
      <c r="N847" s="1001">
        <v>19</v>
      </c>
      <c r="O847" s="1001">
        <v>14000</v>
      </c>
      <c r="P847" s="1001">
        <v>19</v>
      </c>
      <c r="Q847" s="1001">
        <v>15500</v>
      </c>
      <c r="R847" s="1001"/>
      <c r="S847" s="1004"/>
      <c r="T847" s="1004"/>
    </row>
    <row r="848" spans="2:20" s="1003" customFormat="1" ht="76.5" customHeight="1" x14ac:dyDescent="0.25">
      <c r="B848" s="1063" t="s">
        <v>3425</v>
      </c>
      <c r="C848" s="1000" t="s">
        <v>3274</v>
      </c>
      <c r="D848" s="1025" t="s">
        <v>79</v>
      </c>
      <c r="E848" s="1001">
        <v>1</v>
      </c>
      <c r="F848" s="1001">
        <v>1</v>
      </c>
      <c r="G848" s="1001">
        <f>G849</f>
        <v>5700</v>
      </c>
      <c r="H848" s="1001">
        <v>1</v>
      </c>
      <c r="I848" s="1001">
        <f>I849</f>
        <v>5700</v>
      </c>
      <c r="J848" s="1001">
        <v>1</v>
      </c>
      <c r="K848" s="1001">
        <f>K849</f>
        <v>6000</v>
      </c>
      <c r="L848" s="1001">
        <v>1</v>
      </c>
      <c r="M848" s="1001">
        <f>M849</f>
        <v>6500</v>
      </c>
      <c r="N848" s="1001">
        <v>1</v>
      </c>
      <c r="O848" s="1001">
        <f>O849</f>
        <v>7000</v>
      </c>
      <c r="P848" s="1001">
        <v>1</v>
      </c>
      <c r="Q848" s="1001">
        <f>Q849</f>
        <v>8000</v>
      </c>
      <c r="R848" s="1001">
        <f>E848+F848+H848+J848+L848+N848</f>
        <v>6</v>
      </c>
      <c r="S848" s="1004"/>
      <c r="T848" s="1004"/>
    </row>
    <row r="849" spans="2:20" s="1003" customFormat="1" ht="25.5" x14ac:dyDescent="0.25">
      <c r="B849" s="1008" t="s">
        <v>3277</v>
      </c>
      <c r="C849" s="1000" t="s">
        <v>3278</v>
      </c>
      <c r="D849" s="1025" t="s">
        <v>103</v>
      </c>
      <c r="E849" s="1001"/>
      <c r="F849" s="1001">
        <v>19</v>
      </c>
      <c r="G849" s="1001">
        <v>5700</v>
      </c>
      <c r="H849" s="1001">
        <v>19</v>
      </c>
      <c r="I849" s="1001">
        <v>5700</v>
      </c>
      <c r="J849" s="1001">
        <v>19</v>
      </c>
      <c r="K849" s="1001">
        <v>6000</v>
      </c>
      <c r="L849" s="1001">
        <v>19</v>
      </c>
      <c r="M849" s="1001">
        <v>6500</v>
      </c>
      <c r="N849" s="1001">
        <v>19</v>
      </c>
      <c r="O849" s="1001">
        <v>7000</v>
      </c>
      <c r="P849" s="1001">
        <v>19</v>
      </c>
      <c r="Q849" s="1001">
        <v>8000</v>
      </c>
      <c r="R849" s="1001"/>
      <c r="S849" s="1004"/>
      <c r="T849" s="1004"/>
    </row>
    <row r="850" spans="2:20" s="1003" customFormat="1" ht="63.75" customHeight="1" x14ac:dyDescent="0.25">
      <c r="B850" s="1063" t="s">
        <v>3280</v>
      </c>
      <c r="C850" s="1000" t="s">
        <v>3279</v>
      </c>
      <c r="D850" s="1025" t="s">
        <v>327</v>
      </c>
      <c r="E850" s="1001">
        <v>16</v>
      </c>
      <c r="F850" s="1001">
        <v>20</v>
      </c>
      <c r="G850" s="1001">
        <f>SUM(G851:G852)</f>
        <v>8500</v>
      </c>
      <c r="H850" s="1001">
        <v>24</v>
      </c>
      <c r="I850" s="1001">
        <f>SUM(I851:I852)</f>
        <v>8500</v>
      </c>
      <c r="J850" s="1001">
        <v>28</v>
      </c>
      <c r="K850" s="1001">
        <f>SUM(K851:K852)</f>
        <v>10000</v>
      </c>
      <c r="L850" s="1001">
        <v>32</v>
      </c>
      <c r="M850" s="1001">
        <f>SUM(M851:M852)</f>
        <v>11000</v>
      </c>
      <c r="N850" s="1001">
        <v>36</v>
      </c>
      <c r="O850" s="1001">
        <f>SUM(O851:O852)</f>
        <v>12000</v>
      </c>
      <c r="P850" s="1001">
        <v>40</v>
      </c>
      <c r="Q850" s="1001">
        <f>SUM(Q851:Q852)</f>
        <v>13000</v>
      </c>
      <c r="R850" s="1001">
        <f>N850</f>
        <v>36</v>
      </c>
      <c r="S850" s="1004"/>
      <c r="T850" s="1004"/>
    </row>
    <row r="851" spans="2:20" s="1003" customFormat="1" ht="38.25" x14ac:dyDescent="0.25">
      <c r="B851" s="1008" t="s">
        <v>1298</v>
      </c>
      <c r="C851" s="1000" t="s">
        <v>3281</v>
      </c>
      <c r="D851" s="1025" t="s">
        <v>327</v>
      </c>
      <c r="E851" s="1001"/>
      <c r="F851" s="1001">
        <v>19</v>
      </c>
      <c r="G851" s="1001">
        <v>4500</v>
      </c>
      <c r="H851" s="1001">
        <v>19</v>
      </c>
      <c r="I851" s="1001">
        <v>4500</v>
      </c>
      <c r="J851" s="1001">
        <v>19</v>
      </c>
      <c r="K851" s="1001">
        <v>5000</v>
      </c>
      <c r="L851" s="1001">
        <v>19</v>
      </c>
      <c r="M851" s="1001">
        <v>5500</v>
      </c>
      <c r="N851" s="1001">
        <v>19</v>
      </c>
      <c r="O851" s="1001">
        <v>6000</v>
      </c>
      <c r="P851" s="1001">
        <v>19</v>
      </c>
      <c r="Q851" s="1001">
        <v>6500</v>
      </c>
      <c r="R851" s="1001"/>
      <c r="S851" s="1004"/>
      <c r="T851" s="1004"/>
    </row>
    <row r="852" spans="2:20" s="1003" customFormat="1" ht="38.25" x14ac:dyDescent="0.25">
      <c r="B852" s="1008" t="s">
        <v>3282</v>
      </c>
      <c r="C852" s="1000" t="s">
        <v>3283</v>
      </c>
      <c r="D852" s="1025" t="s">
        <v>327</v>
      </c>
      <c r="E852" s="1001"/>
      <c r="F852" s="1001">
        <v>10</v>
      </c>
      <c r="G852" s="1001">
        <v>4000</v>
      </c>
      <c r="H852" s="1001">
        <v>12</v>
      </c>
      <c r="I852" s="1001">
        <v>4000</v>
      </c>
      <c r="J852" s="1001">
        <v>14</v>
      </c>
      <c r="K852" s="1001">
        <v>5000</v>
      </c>
      <c r="L852" s="1001">
        <v>16</v>
      </c>
      <c r="M852" s="1001">
        <v>5500</v>
      </c>
      <c r="N852" s="1001">
        <v>18</v>
      </c>
      <c r="O852" s="1001">
        <v>6000</v>
      </c>
      <c r="P852" s="1001">
        <v>20</v>
      </c>
      <c r="Q852" s="1001">
        <v>6500</v>
      </c>
      <c r="R852" s="1001"/>
      <c r="S852" s="1004"/>
      <c r="T852" s="1004"/>
    </row>
    <row r="853" spans="2:20" s="1003" customFormat="1" ht="63.75" x14ac:dyDescent="0.25">
      <c r="B853" s="998" t="s">
        <v>3284</v>
      </c>
      <c r="C853" s="1009" t="s">
        <v>3285</v>
      </c>
      <c r="D853" s="1025" t="s">
        <v>364</v>
      </c>
      <c r="E853" s="1001">
        <v>100</v>
      </c>
      <c r="F853" s="1001">
        <v>90</v>
      </c>
      <c r="G853" s="1001">
        <f>G854</f>
        <v>4500</v>
      </c>
      <c r="H853" s="1001">
        <v>80</v>
      </c>
      <c r="I853" s="1001">
        <f>I854</f>
        <v>4500</v>
      </c>
      <c r="J853" s="1001">
        <v>70</v>
      </c>
      <c r="K853" s="1001">
        <f>K854</f>
        <v>5000</v>
      </c>
      <c r="L853" s="1001">
        <v>60</v>
      </c>
      <c r="M853" s="1001">
        <f>M854</f>
        <v>5500</v>
      </c>
      <c r="N853" s="1001">
        <v>50</v>
      </c>
      <c r="O853" s="1001">
        <f>O854</f>
        <v>6000</v>
      </c>
      <c r="P853" s="1001">
        <v>50</v>
      </c>
      <c r="Q853" s="1001">
        <f>Q854</f>
        <v>6500</v>
      </c>
      <c r="R853" s="1001">
        <f>N853</f>
        <v>50</v>
      </c>
      <c r="S853" s="1004"/>
      <c r="T853" s="1004"/>
    </row>
    <row r="854" spans="2:20" s="1003" customFormat="1" ht="63.75" x14ac:dyDescent="0.25">
      <c r="B854" s="998" t="s">
        <v>3286</v>
      </c>
      <c r="C854" s="1009" t="s">
        <v>3287</v>
      </c>
      <c r="D854" s="1025" t="s">
        <v>100</v>
      </c>
      <c r="E854" s="1001"/>
      <c r="F854" s="1001">
        <v>20</v>
      </c>
      <c r="G854" s="1001">
        <v>4500</v>
      </c>
      <c r="H854" s="1001">
        <v>20</v>
      </c>
      <c r="I854" s="1001">
        <v>4500</v>
      </c>
      <c r="J854" s="1001">
        <v>20</v>
      </c>
      <c r="K854" s="1001">
        <v>5000</v>
      </c>
      <c r="L854" s="1001">
        <v>20</v>
      </c>
      <c r="M854" s="1001">
        <v>5500</v>
      </c>
      <c r="N854" s="1001">
        <v>20</v>
      </c>
      <c r="O854" s="1001">
        <v>6000</v>
      </c>
      <c r="P854" s="1001">
        <v>20</v>
      </c>
      <c r="Q854" s="1001">
        <v>6500</v>
      </c>
      <c r="R854" s="1001"/>
      <c r="S854" s="1004"/>
      <c r="T854" s="1004"/>
    </row>
    <row r="855" spans="2:20" s="1003" customFormat="1" ht="48" x14ac:dyDescent="0.25">
      <c r="B855" s="1106" t="s">
        <v>3289</v>
      </c>
      <c r="C855" s="1009" t="s">
        <v>3288</v>
      </c>
      <c r="D855" s="1025" t="s">
        <v>100</v>
      </c>
      <c r="E855" s="1001">
        <v>30</v>
      </c>
      <c r="F855" s="1001">
        <f>F856</f>
        <v>30</v>
      </c>
      <c r="G855" s="1001">
        <f t="shared" ref="G855:Q855" si="80">G856</f>
        <v>12000</v>
      </c>
      <c r="H855" s="1001">
        <f t="shared" si="80"/>
        <v>30</v>
      </c>
      <c r="I855" s="1001">
        <f t="shared" si="80"/>
        <v>12000</v>
      </c>
      <c r="J855" s="1001">
        <f t="shared" si="80"/>
        <v>30</v>
      </c>
      <c r="K855" s="1001">
        <f t="shared" si="80"/>
        <v>14000</v>
      </c>
      <c r="L855" s="1001">
        <f t="shared" si="80"/>
        <v>30</v>
      </c>
      <c r="M855" s="1001">
        <f t="shared" si="80"/>
        <v>16000</v>
      </c>
      <c r="N855" s="1001">
        <f t="shared" si="80"/>
        <v>30</v>
      </c>
      <c r="O855" s="1001">
        <f t="shared" si="80"/>
        <v>18000</v>
      </c>
      <c r="P855" s="1001">
        <f t="shared" si="80"/>
        <v>30</v>
      </c>
      <c r="Q855" s="1001">
        <f t="shared" si="80"/>
        <v>2000</v>
      </c>
      <c r="R855" s="1001">
        <f>F855+H855+J855+L855+N855</f>
        <v>150</v>
      </c>
      <c r="S855" s="1004"/>
      <c r="T855" s="1004"/>
    </row>
    <row r="856" spans="2:20" s="1003" customFormat="1" ht="76.5" x14ac:dyDescent="0.25">
      <c r="B856" s="998" t="s">
        <v>894</v>
      </c>
      <c r="C856" s="1009" t="s">
        <v>3290</v>
      </c>
      <c r="D856" s="1025" t="s">
        <v>100</v>
      </c>
      <c r="E856" s="1001"/>
      <c r="F856" s="1001">
        <v>30</v>
      </c>
      <c r="G856" s="1001">
        <v>12000</v>
      </c>
      <c r="H856" s="1001">
        <v>30</v>
      </c>
      <c r="I856" s="1001">
        <v>12000</v>
      </c>
      <c r="J856" s="1001">
        <v>30</v>
      </c>
      <c r="K856" s="1001">
        <v>14000</v>
      </c>
      <c r="L856" s="1001">
        <v>30</v>
      </c>
      <c r="M856" s="1001">
        <v>16000</v>
      </c>
      <c r="N856" s="1001">
        <v>30</v>
      </c>
      <c r="O856" s="1001">
        <v>18000</v>
      </c>
      <c r="P856" s="1001">
        <v>30</v>
      </c>
      <c r="Q856" s="1001">
        <v>2000</v>
      </c>
      <c r="R856" s="1001"/>
      <c r="S856" s="1004"/>
      <c r="T856" s="1004"/>
    </row>
    <row r="857" spans="2:20" s="1003" customFormat="1" ht="60" x14ac:dyDescent="0.25">
      <c r="B857" s="1063" t="s">
        <v>3292</v>
      </c>
      <c r="C857" s="1000" t="s">
        <v>3291</v>
      </c>
      <c r="D857" s="1025" t="s">
        <v>19</v>
      </c>
      <c r="E857" s="1001">
        <v>75</v>
      </c>
      <c r="F857" s="1001">
        <v>77</v>
      </c>
      <c r="G857" s="1001">
        <f>G858</f>
        <v>1000</v>
      </c>
      <c r="H857" s="1001"/>
      <c r="I857" s="1001">
        <f>I858</f>
        <v>0</v>
      </c>
      <c r="J857" s="1001"/>
      <c r="K857" s="1001">
        <f>K858</f>
        <v>0</v>
      </c>
      <c r="L857" s="1001">
        <v>80</v>
      </c>
      <c r="M857" s="1001">
        <f>M858</f>
        <v>36000</v>
      </c>
      <c r="N857" s="1001"/>
      <c r="O857" s="1001">
        <f>O858</f>
        <v>0</v>
      </c>
      <c r="P857" s="1001"/>
      <c r="Q857" s="1001">
        <f>Q858</f>
        <v>0</v>
      </c>
      <c r="R857" s="1001">
        <f>L857</f>
        <v>80</v>
      </c>
      <c r="S857" s="1004"/>
      <c r="T857" s="1004"/>
    </row>
    <row r="858" spans="2:20" s="1003" customFormat="1" ht="38.25" x14ac:dyDescent="0.25">
      <c r="B858" s="1008" t="s">
        <v>3293</v>
      </c>
      <c r="C858" s="1000" t="s">
        <v>3294</v>
      </c>
      <c r="D858" s="1025" t="s">
        <v>103</v>
      </c>
      <c r="E858" s="1001"/>
      <c r="F858" s="1001">
        <v>1</v>
      </c>
      <c r="G858" s="1001">
        <v>1000</v>
      </c>
      <c r="H858" s="1001">
        <v>0</v>
      </c>
      <c r="I858" s="1001">
        <v>0</v>
      </c>
      <c r="J858" s="1001"/>
      <c r="K858" s="1001"/>
      <c r="L858" s="1001">
        <v>18</v>
      </c>
      <c r="M858" s="1001">
        <v>36000</v>
      </c>
      <c r="N858" s="1001"/>
      <c r="O858" s="1001"/>
      <c r="P858" s="1001"/>
      <c r="Q858" s="1001"/>
      <c r="R858" s="1001"/>
      <c r="S858" s="1004"/>
      <c r="T858" s="1004"/>
    </row>
    <row r="859" spans="2:20" s="1003" customFormat="1" ht="60" x14ac:dyDescent="0.25">
      <c r="B859" s="1063" t="s">
        <v>3296</v>
      </c>
      <c r="C859" s="1000" t="s">
        <v>3295</v>
      </c>
      <c r="D859" s="1025" t="s">
        <v>327</v>
      </c>
      <c r="E859" s="1001">
        <v>11</v>
      </c>
      <c r="F859" s="1001">
        <f>F860</f>
        <v>19</v>
      </c>
      <c r="G859" s="1001">
        <f t="shared" ref="G859:Q859" si="81">G860</f>
        <v>7000</v>
      </c>
      <c r="H859" s="1001">
        <f t="shared" si="81"/>
        <v>19</v>
      </c>
      <c r="I859" s="1001">
        <f t="shared" si="81"/>
        <v>5000</v>
      </c>
      <c r="J859" s="1001">
        <f t="shared" si="81"/>
        <v>19</v>
      </c>
      <c r="K859" s="1001">
        <f t="shared" si="81"/>
        <v>7000</v>
      </c>
      <c r="L859" s="1001">
        <f t="shared" si="81"/>
        <v>19</v>
      </c>
      <c r="M859" s="1001">
        <f t="shared" si="81"/>
        <v>7700</v>
      </c>
      <c r="N859" s="1001">
        <f t="shared" si="81"/>
        <v>19</v>
      </c>
      <c r="O859" s="1001">
        <f t="shared" si="81"/>
        <v>8400</v>
      </c>
      <c r="P859" s="1001">
        <f t="shared" si="81"/>
        <v>19</v>
      </c>
      <c r="Q859" s="1001">
        <f t="shared" si="81"/>
        <v>9200</v>
      </c>
      <c r="R859" s="1001">
        <f>N859</f>
        <v>19</v>
      </c>
      <c r="S859" s="1004"/>
      <c r="T859" s="1004"/>
    </row>
    <row r="860" spans="2:20" s="1003" customFormat="1" x14ac:dyDescent="0.25">
      <c r="B860" s="1008" t="s">
        <v>383</v>
      </c>
      <c r="C860" s="1000" t="s">
        <v>3297</v>
      </c>
      <c r="D860" s="1025"/>
      <c r="E860" s="1001"/>
      <c r="F860" s="1001">
        <v>19</v>
      </c>
      <c r="G860" s="1001">
        <v>7000</v>
      </c>
      <c r="H860" s="1001">
        <v>19</v>
      </c>
      <c r="I860" s="1001">
        <v>5000</v>
      </c>
      <c r="J860" s="1001">
        <v>19</v>
      </c>
      <c r="K860" s="1001">
        <v>7000</v>
      </c>
      <c r="L860" s="1001">
        <v>19</v>
      </c>
      <c r="M860" s="1001">
        <v>7700</v>
      </c>
      <c r="N860" s="1001">
        <v>19</v>
      </c>
      <c r="O860" s="1001">
        <v>8400</v>
      </c>
      <c r="P860" s="1001">
        <v>19</v>
      </c>
      <c r="Q860" s="1001">
        <v>9200</v>
      </c>
      <c r="R860" s="1001"/>
      <c r="S860" s="1004"/>
      <c r="T860" s="1004"/>
    </row>
    <row r="861" spans="2:20" s="1032" customFormat="1" x14ac:dyDescent="0.25">
      <c r="B861" s="1027" t="s">
        <v>2651</v>
      </c>
      <c r="C861" s="1033"/>
      <c r="D861" s="1034"/>
      <c r="E861" s="1033"/>
      <c r="F861" s="1033"/>
      <c r="G861" s="1035">
        <f>G859+G857+G855+G853+G850+G848+G845+G843+G840+G838+G836+G829+G815</f>
        <v>355408</v>
      </c>
      <c r="H861" s="1033"/>
      <c r="I861" s="1035">
        <f>I859+I857+I855+I853+I850+I848+I845+I843+I840+I838+I836+I829+I815</f>
        <v>361246</v>
      </c>
      <c r="J861" s="1033"/>
      <c r="K861" s="1035">
        <f>K859+K857+K855+K853+K850+K848+K845+K843+K840+K838+K836+K829+K815</f>
        <v>396700</v>
      </c>
      <c r="L861" s="1033"/>
      <c r="M861" s="1035">
        <f>M859+M857+M855+M853+M850+M848+M845+M843+M840+M838+M836+M829+M815</f>
        <v>464100</v>
      </c>
      <c r="N861" s="1033"/>
      <c r="O861" s="1035">
        <f>O859+O857+O855+O853+O850+O848+O845+O843+O840+O838+O836+O829+O815</f>
        <v>454500</v>
      </c>
      <c r="P861" s="1033"/>
      <c r="Q861" s="1035">
        <f>Q859+Q857+Q855+Q853+Q850+Q848+Q845+Q843+Q840+Q838+Q836+Q829+Q815</f>
        <v>462700</v>
      </c>
      <c r="R861" s="1033"/>
      <c r="S861" s="1036"/>
      <c r="T861" s="1036"/>
    </row>
    <row r="862" spans="2:20" s="1003" customFormat="1" x14ac:dyDescent="0.25">
      <c r="B862" s="1005"/>
      <c r="C862" s="1100"/>
      <c r="D862" s="1000"/>
      <c r="E862" s="1001"/>
      <c r="F862" s="1001"/>
      <c r="G862" s="1001"/>
      <c r="H862" s="1001"/>
      <c r="I862" s="1001"/>
      <c r="J862" s="1001"/>
      <c r="K862" s="1001"/>
      <c r="L862" s="1001"/>
      <c r="M862" s="1001"/>
      <c r="N862" s="1001"/>
      <c r="O862" s="1001"/>
      <c r="P862" s="1001"/>
      <c r="Q862" s="1001"/>
      <c r="R862" s="1001"/>
      <c r="S862" s="1004"/>
      <c r="T862" s="1004"/>
    </row>
    <row r="863" spans="2:20" s="1003" customFormat="1" x14ac:dyDescent="0.25">
      <c r="B863" s="1167" t="s">
        <v>3524</v>
      </c>
      <c r="C863" s="1100"/>
      <c r="D863" s="1000"/>
      <c r="E863" s="1001"/>
      <c r="F863" s="1001"/>
      <c r="G863" s="1001"/>
      <c r="H863" s="1001"/>
      <c r="I863" s="1001"/>
      <c r="J863" s="1001"/>
      <c r="K863" s="1001"/>
      <c r="L863" s="1001"/>
      <c r="M863" s="1001"/>
      <c r="N863" s="1001"/>
      <c r="O863" s="1001"/>
      <c r="P863" s="1001"/>
      <c r="Q863" s="1001"/>
      <c r="R863" s="1001"/>
      <c r="S863" s="1004"/>
      <c r="T863" s="1004"/>
    </row>
    <row r="864" spans="2:20" s="1003" customFormat="1" ht="51" customHeight="1" x14ac:dyDescent="0.25">
      <c r="B864" s="998"/>
      <c r="C864" s="999" t="s">
        <v>3228</v>
      </c>
      <c r="D864" s="1025" t="s">
        <v>19</v>
      </c>
      <c r="E864" s="1001">
        <v>90</v>
      </c>
      <c r="F864" s="1001">
        <v>93</v>
      </c>
      <c r="G864" s="1001"/>
      <c r="H864" s="1001">
        <v>94</v>
      </c>
      <c r="I864" s="1001"/>
      <c r="J864" s="1001">
        <v>95</v>
      </c>
      <c r="K864" s="1001"/>
      <c r="L864" s="1001">
        <v>96</v>
      </c>
      <c r="M864" s="1001"/>
      <c r="N864" s="1001">
        <v>97</v>
      </c>
      <c r="O864" s="1001"/>
      <c r="P864" s="1001">
        <v>98</v>
      </c>
      <c r="Q864" s="1001"/>
      <c r="R864" s="1001">
        <v>97</v>
      </c>
      <c r="S864" s="1002"/>
      <c r="T864" s="1002"/>
    </row>
    <row r="865" spans="2:20" s="1003" customFormat="1" ht="63.75" x14ac:dyDescent="0.25">
      <c r="B865" s="1106" t="s">
        <v>3229</v>
      </c>
      <c r="C865" s="1000" t="s">
        <v>1488</v>
      </c>
      <c r="D865" s="1025" t="s">
        <v>19</v>
      </c>
      <c r="E865" s="1001">
        <v>100</v>
      </c>
      <c r="F865" s="1001">
        <v>20</v>
      </c>
      <c r="G865" s="1001">
        <f>SUM(G866:G878)</f>
        <v>76200</v>
      </c>
      <c r="H865" s="1001">
        <v>20</v>
      </c>
      <c r="I865" s="1001">
        <f>SUM(I866:I878)</f>
        <v>92600</v>
      </c>
      <c r="J865" s="1001">
        <v>20</v>
      </c>
      <c r="K865" s="1001">
        <f>SUM(K866:K878)</f>
        <v>101500</v>
      </c>
      <c r="L865" s="1001">
        <v>20</v>
      </c>
      <c r="M865" s="1001">
        <f>SUM(M866:M878)</f>
        <v>115500</v>
      </c>
      <c r="N865" s="1001">
        <v>20</v>
      </c>
      <c r="O865" s="1001">
        <f>SUM(O866:O878)</f>
        <v>123500</v>
      </c>
      <c r="P865" s="1001">
        <v>20</v>
      </c>
      <c r="Q865" s="1001">
        <f>SUM(Q866:Q878)</f>
        <v>131500</v>
      </c>
      <c r="R865" s="1001">
        <v>100</v>
      </c>
      <c r="S865" s="1004"/>
      <c r="T865" s="1004"/>
    </row>
    <row r="866" spans="2:20" s="1003" customFormat="1" ht="25.5" x14ac:dyDescent="0.25">
      <c r="B866" s="998" t="s">
        <v>124</v>
      </c>
      <c r="C866" s="1100" t="s">
        <v>3230</v>
      </c>
      <c r="D866" s="1025" t="s">
        <v>40</v>
      </c>
      <c r="E866" s="1001"/>
      <c r="F866" s="1001">
        <v>12</v>
      </c>
      <c r="G866" s="1001">
        <v>1000</v>
      </c>
      <c r="H866" s="1001">
        <v>12</v>
      </c>
      <c r="I866" s="1001">
        <v>600</v>
      </c>
      <c r="J866" s="1001">
        <v>12</v>
      </c>
      <c r="K866" s="1001">
        <v>1000</v>
      </c>
      <c r="L866" s="1001">
        <v>12</v>
      </c>
      <c r="M866" s="1001">
        <v>1500</v>
      </c>
      <c r="N866" s="1001">
        <v>12</v>
      </c>
      <c r="O866" s="1001">
        <v>1500</v>
      </c>
      <c r="P866" s="1001">
        <v>12</v>
      </c>
      <c r="Q866" s="1001">
        <v>1500</v>
      </c>
      <c r="R866" s="1001"/>
      <c r="S866" s="1004"/>
      <c r="T866" s="1004"/>
    </row>
    <row r="867" spans="2:20" s="1003" customFormat="1" ht="51" x14ac:dyDescent="0.25">
      <c r="B867" s="1005" t="s">
        <v>126</v>
      </c>
      <c r="C867" s="1100" t="s">
        <v>2518</v>
      </c>
      <c r="D867" s="1025" t="s">
        <v>40</v>
      </c>
      <c r="E867" s="1001"/>
      <c r="F867" s="1001">
        <v>12</v>
      </c>
      <c r="G867" s="1001">
        <v>9000</v>
      </c>
      <c r="H867" s="1001">
        <v>12</v>
      </c>
      <c r="I867" s="1001">
        <v>12000</v>
      </c>
      <c r="J867" s="1001">
        <v>12</v>
      </c>
      <c r="K867" s="1001">
        <v>13000</v>
      </c>
      <c r="L867" s="1001">
        <v>12</v>
      </c>
      <c r="M867" s="1001">
        <v>14000</v>
      </c>
      <c r="N867" s="1001">
        <v>12</v>
      </c>
      <c r="O867" s="1001">
        <v>14000</v>
      </c>
      <c r="P867" s="1001">
        <v>12</v>
      </c>
      <c r="Q867" s="1001">
        <v>15000</v>
      </c>
      <c r="R867" s="1001"/>
      <c r="S867" s="1004"/>
      <c r="T867" s="1004"/>
    </row>
    <row r="868" spans="2:20" s="1041" customFormat="1" ht="76.5" x14ac:dyDescent="0.25">
      <c r="B868" s="1099" t="s">
        <v>3231</v>
      </c>
      <c r="C868" s="1101" t="s">
        <v>2519</v>
      </c>
      <c r="D868" s="1038" t="s">
        <v>40</v>
      </c>
      <c r="E868" s="1039"/>
      <c r="F868" s="1039">
        <v>12</v>
      </c>
      <c r="G868" s="1039">
        <v>17000</v>
      </c>
      <c r="H868" s="1039">
        <v>12</v>
      </c>
      <c r="I868" s="1039">
        <v>18500</v>
      </c>
      <c r="J868" s="1039">
        <v>12</v>
      </c>
      <c r="K868" s="1039">
        <v>18500</v>
      </c>
      <c r="L868" s="1039">
        <v>12</v>
      </c>
      <c r="M868" s="1039">
        <v>20000</v>
      </c>
      <c r="N868" s="1039">
        <v>12</v>
      </c>
      <c r="O868" s="1039">
        <v>22000</v>
      </c>
      <c r="P868" s="1039">
        <v>12</v>
      </c>
      <c r="Q868" s="1039">
        <v>24000</v>
      </c>
      <c r="R868" s="1039"/>
      <c r="S868" s="1040"/>
      <c r="T868" s="1040"/>
    </row>
    <row r="869" spans="2:20" s="1003" customFormat="1" ht="38.25" x14ac:dyDescent="0.25">
      <c r="B869" s="1005" t="s">
        <v>45</v>
      </c>
      <c r="C869" s="1100" t="s">
        <v>2520</v>
      </c>
      <c r="D869" s="1025" t="s">
        <v>40</v>
      </c>
      <c r="E869" s="1001"/>
      <c r="F869" s="1001">
        <v>12</v>
      </c>
      <c r="G869" s="1001">
        <v>8500</v>
      </c>
      <c r="H869" s="1001">
        <v>12</v>
      </c>
      <c r="I869" s="1001">
        <v>15000</v>
      </c>
      <c r="J869" s="1001">
        <v>12</v>
      </c>
      <c r="K869" s="1001">
        <v>16000</v>
      </c>
      <c r="L869" s="1001">
        <v>12</v>
      </c>
      <c r="M869" s="1001">
        <v>18000</v>
      </c>
      <c r="N869" s="1001">
        <v>12</v>
      </c>
      <c r="O869" s="1001">
        <v>20000</v>
      </c>
      <c r="P869" s="1001">
        <v>12</v>
      </c>
      <c r="Q869" s="1001">
        <v>20000</v>
      </c>
      <c r="R869" s="1001"/>
      <c r="S869" s="1004"/>
      <c r="T869" s="1004"/>
    </row>
    <row r="870" spans="2:20" s="1003" customFormat="1" ht="38.25" x14ac:dyDescent="0.25">
      <c r="B870" s="1005" t="s">
        <v>47</v>
      </c>
      <c r="C870" s="1100" t="s">
        <v>2521</v>
      </c>
      <c r="D870" s="1025" t="s">
        <v>40</v>
      </c>
      <c r="E870" s="1001"/>
      <c r="F870" s="1001">
        <v>12</v>
      </c>
      <c r="G870" s="1001">
        <v>2000</v>
      </c>
      <c r="H870" s="1001">
        <v>12</v>
      </c>
      <c r="I870" s="1001">
        <v>1000</v>
      </c>
      <c r="J870" s="1001">
        <v>12</v>
      </c>
      <c r="K870" s="1001">
        <v>2000</v>
      </c>
      <c r="L870" s="1001">
        <v>12</v>
      </c>
      <c r="M870" s="1001">
        <v>3000</v>
      </c>
      <c r="N870" s="1001">
        <v>12</v>
      </c>
      <c r="O870" s="1001">
        <v>3500</v>
      </c>
      <c r="P870" s="1001">
        <v>12</v>
      </c>
      <c r="Q870" s="1001">
        <v>4000</v>
      </c>
      <c r="R870" s="1001"/>
      <c r="S870" s="1004"/>
      <c r="T870" s="1004"/>
    </row>
    <row r="871" spans="2:20" s="1003" customFormat="1" ht="51" x14ac:dyDescent="0.25">
      <c r="B871" s="1005" t="s">
        <v>923</v>
      </c>
      <c r="C871" s="1100" t="s">
        <v>2522</v>
      </c>
      <c r="D871" s="1025" t="s">
        <v>40</v>
      </c>
      <c r="E871" s="1001"/>
      <c r="F871" s="1001">
        <v>12</v>
      </c>
      <c r="G871" s="1001">
        <v>4000</v>
      </c>
      <c r="H871" s="1001">
        <v>12</v>
      </c>
      <c r="I871" s="1001">
        <v>5000</v>
      </c>
      <c r="J871" s="1001">
        <v>12</v>
      </c>
      <c r="K871" s="1001">
        <v>4000</v>
      </c>
      <c r="L871" s="1001">
        <v>12</v>
      </c>
      <c r="M871" s="1001">
        <v>7000</v>
      </c>
      <c r="N871" s="1001">
        <v>12</v>
      </c>
      <c r="O871" s="1001">
        <v>8000</v>
      </c>
      <c r="P871" s="1001">
        <v>12</v>
      </c>
      <c r="Q871" s="1001">
        <v>9000</v>
      </c>
      <c r="R871" s="1001"/>
      <c r="S871" s="1004"/>
      <c r="T871" s="1004"/>
    </row>
    <row r="872" spans="2:20" s="1003" customFormat="1" ht="38.25" x14ac:dyDescent="0.25">
      <c r="B872" s="1005" t="s">
        <v>50</v>
      </c>
      <c r="C872" s="1100" t="s">
        <v>2523</v>
      </c>
      <c r="D872" s="1025" t="s">
        <v>40</v>
      </c>
      <c r="E872" s="1001"/>
      <c r="F872" s="1001">
        <v>12</v>
      </c>
      <c r="G872" s="1001">
        <v>7000</v>
      </c>
      <c r="H872" s="1001">
        <v>12</v>
      </c>
      <c r="I872" s="1001">
        <v>8000</v>
      </c>
      <c r="J872" s="1001">
        <v>12</v>
      </c>
      <c r="K872" s="1001">
        <v>10000</v>
      </c>
      <c r="L872" s="1001">
        <v>12</v>
      </c>
      <c r="M872" s="1001">
        <v>10000</v>
      </c>
      <c r="N872" s="1001">
        <v>12</v>
      </c>
      <c r="O872" s="1001">
        <v>10000</v>
      </c>
      <c r="P872" s="1001">
        <v>12</v>
      </c>
      <c r="Q872" s="1001">
        <v>10000</v>
      </c>
      <c r="R872" s="1001"/>
      <c r="S872" s="1004"/>
      <c r="T872" s="1004"/>
    </row>
    <row r="873" spans="2:20" s="1003" customFormat="1" ht="51" x14ac:dyDescent="0.25">
      <c r="B873" s="1005" t="s">
        <v>52</v>
      </c>
      <c r="C873" s="1100" t="s">
        <v>2524</v>
      </c>
      <c r="D873" s="1025" t="s">
        <v>40</v>
      </c>
      <c r="E873" s="1001"/>
      <c r="F873" s="1001">
        <v>12</v>
      </c>
      <c r="G873" s="1001">
        <v>3000</v>
      </c>
      <c r="H873" s="1001">
        <v>12</v>
      </c>
      <c r="I873" s="1001">
        <v>3000</v>
      </c>
      <c r="J873" s="1001">
        <v>12</v>
      </c>
      <c r="K873" s="1001">
        <v>4000</v>
      </c>
      <c r="L873" s="1001">
        <v>12</v>
      </c>
      <c r="M873" s="1001">
        <v>4500</v>
      </c>
      <c r="N873" s="1001">
        <v>12</v>
      </c>
      <c r="O873" s="1001">
        <v>5000</v>
      </c>
      <c r="P873" s="1001">
        <v>12</v>
      </c>
      <c r="Q873" s="1001">
        <v>5000</v>
      </c>
      <c r="R873" s="1001"/>
      <c r="S873" s="1004"/>
      <c r="T873" s="1004"/>
    </row>
    <row r="874" spans="2:20" s="1003" customFormat="1" ht="76.5" x14ac:dyDescent="0.25">
      <c r="B874" s="1005" t="s">
        <v>782</v>
      </c>
      <c r="C874" s="1100" t="s">
        <v>2525</v>
      </c>
      <c r="D874" s="1025" t="s">
        <v>40</v>
      </c>
      <c r="E874" s="1001"/>
      <c r="F874" s="1001">
        <v>12</v>
      </c>
      <c r="G874" s="1001">
        <v>1000</v>
      </c>
      <c r="H874" s="1001">
        <v>12</v>
      </c>
      <c r="I874" s="1001">
        <v>1300</v>
      </c>
      <c r="J874" s="1001">
        <v>12</v>
      </c>
      <c r="K874" s="1001">
        <v>1500</v>
      </c>
      <c r="L874" s="1001">
        <v>12</v>
      </c>
      <c r="M874" s="1001">
        <v>2500</v>
      </c>
      <c r="N874" s="1001">
        <v>12</v>
      </c>
      <c r="O874" s="1001">
        <v>3000</v>
      </c>
      <c r="P874" s="1001">
        <v>12</v>
      </c>
      <c r="Q874" s="1001">
        <v>3500</v>
      </c>
      <c r="R874" s="1001"/>
      <c r="S874" s="1004"/>
      <c r="T874" s="1004"/>
    </row>
    <row r="875" spans="2:20" s="1003" customFormat="1" ht="63.75" x14ac:dyDescent="0.25">
      <c r="B875" s="1005" t="s">
        <v>3232</v>
      </c>
      <c r="C875" s="1100" t="s">
        <v>2526</v>
      </c>
      <c r="D875" s="1025" t="s">
        <v>40</v>
      </c>
      <c r="E875" s="1001"/>
      <c r="F875" s="1001">
        <v>12</v>
      </c>
      <c r="G875" s="1001">
        <v>1200</v>
      </c>
      <c r="H875" s="1001">
        <v>12</v>
      </c>
      <c r="I875" s="1001">
        <v>1200</v>
      </c>
      <c r="J875" s="1001">
        <v>12</v>
      </c>
      <c r="K875" s="1001">
        <v>1500</v>
      </c>
      <c r="L875" s="1001">
        <v>12</v>
      </c>
      <c r="M875" s="1001">
        <v>2000</v>
      </c>
      <c r="N875" s="1001">
        <v>12</v>
      </c>
      <c r="O875" s="1001">
        <v>2000</v>
      </c>
      <c r="P875" s="1001">
        <v>12</v>
      </c>
      <c r="Q875" s="1001">
        <v>2500</v>
      </c>
      <c r="R875" s="1001"/>
      <c r="S875" s="1004"/>
      <c r="T875" s="1004"/>
    </row>
    <row r="876" spans="2:20" s="1003" customFormat="1" ht="38.25" x14ac:dyDescent="0.25">
      <c r="B876" s="1005" t="s">
        <v>58</v>
      </c>
      <c r="C876" s="1100" t="s">
        <v>2527</v>
      </c>
      <c r="D876" s="1025" t="s">
        <v>40</v>
      </c>
      <c r="E876" s="1001"/>
      <c r="F876" s="1001">
        <v>12</v>
      </c>
      <c r="G876" s="1001">
        <v>7000</v>
      </c>
      <c r="H876" s="1001">
        <v>12</v>
      </c>
      <c r="I876" s="1001">
        <v>9000</v>
      </c>
      <c r="J876" s="1001">
        <v>12</v>
      </c>
      <c r="K876" s="1001">
        <v>10000</v>
      </c>
      <c r="L876" s="1001">
        <v>12</v>
      </c>
      <c r="M876" s="1001">
        <v>12000</v>
      </c>
      <c r="N876" s="1001">
        <v>12</v>
      </c>
      <c r="O876" s="1001">
        <v>13000</v>
      </c>
      <c r="P876" s="1001">
        <v>12</v>
      </c>
      <c r="Q876" s="1001">
        <v>14000</v>
      </c>
      <c r="R876" s="1001"/>
      <c r="S876" s="1004"/>
      <c r="T876" s="1004"/>
    </row>
    <row r="877" spans="2:20" s="1003" customFormat="1" ht="51" x14ac:dyDescent="0.25">
      <c r="B877" s="1005" t="s">
        <v>3233</v>
      </c>
      <c r="C877" s="1100" t="s">
        <v>2529</v>
      </c>
      <c r="D877" s="1025" t="s">
        <v>40</v>
      </c>
      <c r="E877" s="1001"/>
      <c r="F877" s="1001">
        <v>12</v>
      </c>
      <c r="G877" s="1001">
        <v>15500</v>
      </c>
      <c r="H877" s="1001">
        <v>12</v>
      </c>
      <c r="I877" s="1001">
        <v>18000</v>
      </c>
      <c r="J877" s="1001">
        <v>12</v>
      </c>
      <c r="K877" s="1001">
        <v>18000</v>
      </c>
      <c r="L877" s="1001">
        <v>12</v>
      </c>
      <c r="M877" s="1001">
        <v>19000</v>
      </c>
      <c r="N877" s="1001">
        <v>12</v>
      </c>
      <c r="O877" s="1001">
        <v>19000</v>
      </c>
      <c r="P877" s="1001">
        <v>12</v>
      </c>
      <c r="Q877" s="1001">
        <v>20000</v>
      </c>
      <c r="R877" s="1001"/>
      <c r="S877" s="1004"/>
      <c r="T877" s="1004"/>
    </row>
    <row r="878" spans="2:20" s="1003" customFormat="1" ht="51" x14ac:dyDescent="0.25">
      <c r="B878" s="1102" t="s">
        <v>137</v>
      </c>
      <c r="C878" s="1100" t="s">
        <v>2528</v>
      </c>
      <c r="D878" s="1025" t="s">
        <v>40</v>
      </c>
      <c r="E878" s="1001"/>
      <c r="F878" s="1001">
        <v>12</v>
      </c>
      <c r="G878" s="1001">
        <v>0</v>
      </c>
      <c r="H878" s="1001">
        <v>12</v>
      </c>
      <c r="I878" s="1001">
        <v>0</v>
      </c>
      <c r="J878" s="1001">
        <v>12</v>
      </c>
      <c r="K878" s="1001">
        <v>2000</v>
      </c>
      <c r="L878" s="1001">
        <v>12</v>
      </c>
      <c r="M878" s="1001">
        <v>2000</v>
      </c>
      <c r="N878" s="1001">
        <v>12</v>
      </c>
      <c r="O878" s="1001">
        <v>2500</v>
      </c>
      <c r="P878" s="1001">
        <v>12</v>
      </c>
      <c r="Q878" s="1001">
        <v>3000</v>
      </c>
      <c r="R878" s="1001"/>
      <c r="S878" s="1004"/>
      <c r="T878" s="1004"/>
    </row>
    <row r="879" spans="2:20" s="1003" customFormat="1" ht="38.25" x14ac:dyDescent="0.25">
      <c r="B879" s="2121" t="s">
        <v>65</v>
      </c>
      <c r="C879" s="999" t="s">
        <v>3234</v>
      </c>
      <c r="D879" s="1015" t="s">
        <v>19</v>
      </c>
      <c r="E879" s="1001">
        <v>70</v>
      </c>
      <c r="F879" s="1001">
        <v>3</v>
      </c>
      <c r="G879" s="2114">
        <f>SUM(G881:G887)</f>
        <v>21500</v>
      </c>
      <c r="H879" s="1001">
        <v>2</v>
      </c>
      <c r="I879" s="2114">
        <f>SUM(I881:I887)</f>
        <v>31500</v>
      </c>
      <c r="J879" s="1001">
        <v>3</v>
      </c>
      <c r="K879" s="2114">
        <f>SUM(K881:K887)</f>
        <v>34000</v>
      </c>
      <c r="L879" s="1001">
        <v>2</v>
      </c>
      <c r="M879" s="2114">
        <f>SUM(M881:M887)</f>
        <v>70000</v>
      </c>
      <c r="N879" s="1001">
        <v>3</v>
      </c>
      <c r="O879" s="2114">
        <f>SUM(O881:O887)</f>
        <v>36500</v>
      </c>
      <c r="P879" s="1001">
        <v>2</v>
      </c>
      <c r="Q879" s="2114">
        <f>SUM(Q881:Q887)</f>
        <v>60000</v>
      </c>
      <c r="R879" s="1001">
        <f>E879+F879+H879+J879+L879+N879</f>
        <v>83</v>
      </c>
      <c r="S879" s="1004"/>
      <c r="T879" s="1004"/>
    </row>
    <row r="880" spans="2:20" s="1003" customFormat="1" ht="38.25" x14ac:dyDescent="0.25">
      <c r="B880" s="2121"/>
      <c r="C880" s="999" t="s">
        <v>3235</v>
      </c>
      <c r="D880" s="1015" t="s">
        <v>19</v>
      </c>
      <c r="E880" s="1001">
        <v>100</v>
      </c>
      <c r="F880" s="1001">
        <v>100</v>
      </c>
      <c r="G880" s="2114"/>
      <c r="H880" s="1001">
        <v>100</v>
      </c>
      <c r="I880" s="2114"/>
      <c r="J880" s="1001">
        <v>100</v>
      </c>
      <c r="K880" s="2114"/>
      <c r="L880" s="1001">
        <v>100</v>
      </c>
      <c r="M880" s="2114"/>
      <c r="N880" s="1001">
        <v>100</v>
      </c>
      <c r="O880" s="2114"/>
      <c r="P880" s="1001">
        <v>100</v>
      </c>
      <c r="Q880" s="2114"/>
      <c r="R880" s="1001">
        <v>100</v>
      </c>
      <c r="S880" s="1004"/>
      <c r="T880" s="1004"/>
    </row>
    <row r="881" spans="2:20" s="1003" customFormat="1" ht="38.25" x14ac:dyDescent="0.25">
      <c r="B881" s="1007" t="s">
        <v>144</v>
      </c>
      <c r="C881" s="999" t="s">
        <v>3408</v>
      </c>
      <c r="D881" s="1015" t="s">
        <v>69</v>
      </c>
      <c r="E881" s="1001"/>
      <c r="F881" s="1001">
        <v>2</v>
      </c>
      <c r="G881" s="1001">
        <v>4000</v>
      </c>
      <c r="H881" s="1001">
        <v>2</v>
      </c>
      <c r="I881" s="1001">
        <v>8500</v>
      </c>
      <c r="J881" s="1001">
        <v>2</v>
      </c>
      <c r="K881" s="1001">
        <v>8000</v>
      </c>
      <c r="L881" s="1001">
        <v>2</v>
      </c>
      <c r="M881" s="1001">
        <v>10000</v>
      </c>
      <c r="N881" s="1001">
        <v>2</v>
      </c>
      <c r="O881" s="1001"/>
      <c r="P881" s="1001">
        <v>2</v>
      </c>
      <c r="Q881" s="1001">
        <v>10000</v>
      </c>
      <c r="R881" s="1001"/>
      <c r="S881" s="1004"/>
      <c r="T881" s="1004"/>
    </row>
    <row r="882" spans="2:20" s="1003" customFormat="1" ht="25.5" x14ac:dyDescent="0.25">
      <c r="B882" s="998" t="s">
        <v>3236</v>
      </c>
      <c r="C882" s="1000" t="s">
        <v>3409</v>
      </c>
      <c r="D882" s="1025" t="s">
        <v>75</v>
      </c>
      <c r="E882" s="1001"/>
      <c r="F882" s="1001">
        <v>0</v>
      </c>
      <c r="G882" s="1001">
        <v>0</v>
      </c>
      <c r="H882" s="1001">
        <v>2</v>
      </c>
      <c r="I882" s="1001">
        <v>8500</v>
      </c>
      <c r="J882" s="1001">
        <v>3</v>
      </c>
      <c r="K882" s="1001">
        <v>8000</v>
      </c>
      <c r="L882" s="1001">
        <v>10</v>
      </c>
      <c r="M882" s="1001">
        <v>10000</v>
      </c>
      <c r="N882" s="1001">
        <v>0</v>
      </c>
      <c r="O882" s="1001">
        <v>0</v>
      </c>
      <c r="P882" s="1001">
        <v>0</v>
      </c>
      <c r="Q882" s="1001">
        <v>0</v>
      </c>
      <c r="R882" s="1001"/>
      <c r="S882" s="1004"/>
      <c r="T882" s="1004"/>
    </row>
    <row r="883" spans="2:20" s="1003" customFormat="1" ht="25.5" x14ac:dyDescent="0.25">
      <c r="B883" s="998" t="s">
        <v>3493</v>
      </c>
      <c r="C883" s="1037" t="s">
        <v>3494</v>
      </c>
      <c r="D883" s="1025"/>
      <c r="E883" s="1001"/>
      <c r="F883" s="1001">
        <v>0</v>
      </c>
      <c r="G883" s="1001">
        <v>0</v>
      </c>
      <c r="H883" s="1001">
        <v>0</v>
      </c>
      <c r="I883" s="1001">
        <v>0</v>
      </c>
      <c r="J883" s="1001">
        <v>0</v>
      </c>
      <c r="K883" s="1001">
        <v>0</v>
      </c>
      <c r="L883" s="1001">
        <v>2</v>
      </c>
      <c r="M883" s="1001">
        <v>10000</v>
      </c>
      <c r="N883" s="1001">
        <v>0</v>
      </c>
      <c r="O883" s="1001">
        <v>0</v>
      </c>
      <c r="P883" s="1001">
        <v>1</v>
      </c>
      <c r="Q883" s="1001">
        <v>10000</v>
      </c>
      <c r="R883" s="1001"/>
      <c r="S883" s="1004"/>
      <c r="T883" s="1004"/>
    </row>
    <row r="884" spans="2:20" s="1003" customFormat="1" ht="25.5" x14ac:dyDescent="0.25">
      <c r="B884" s="998" t="s">
        <v>3238</v>
      </c>
      <c r="C884" s="1000" t="s">
        <v>3525</v>
      </c>
      <c r="D884" s="1025" t="s">
        <v>75</v>
      </c>
      <c r="E884" s="1001"/>
      <c r="F884" s="1001">
        <v>1</v>
      </c>
      <c r="G884" s="1001">
        <v>14500</v>
      </c>
      <c r="H884" s="1001">
        <v>4</v>
      </c>
      <c r="I884" s="1001">
        <v>10000</v>
      </c>
      <c r="J884" s="1001">
        <v>1</v>
      </c>
      <c r="K884" s="1001">
        <v>14000</v>
      </c>
      <c r="L884" s="1001">
        <v>3</v>
      </c>
      <c r="M884" s="1001">
        <v>21000</v>
      </c>
      <c r="N884" s="1001">
        <v>2</v>
      </c>
      <c r="O884" s="1001">
        <v>15000</v>
      </c>
      <c r="P884" s="1001">
        <v>2</v>
      </c>
      <c r="Q884" s="1001">
        <v>18000</v>
      </c>
      <c r="R884" s="1001"/>
      <c r="S884" s="1004"/>
      <c r="T884" s="1004"/>
    </row>
    <row r="885" spans="2:20" s="1003" customFormat="1" ht="38.25" x14ac:dyDescent="0.25">
      <c r="B885" s="1007" t="s">
        <v>3240</v>
      </c>
      <c r="C885" s="999" t="s">
        <v>3241</v>
      </c>
      <c r="D885" s="1015" t="s">
        <v>40</v>
      </c>
      <c r="E885" s="1001"/>
      <c r="F885" s="1001">
        <v>12</v>
      </c>
      <c r="G885" s="1001">
        <v>1000</v>
      </c>
      <c r="H885" s="1001">
        <v>12</v>
      </c>
      <c r="I885" s="1001">
        <v>2500</v>
      </c>
      <c r="J885" s="1001">
        <v>12</v>
      </c>
      <c r="K885" s="1001">
        <v>2000</v>
      </c>
      <c r="L885" s="1001">
        <v>12</v>
      </c>
      <c r="M885" s="1001">
        <v>4500</v>
      </c>
      <c r="N885" s="1001">
        <v>12</v>
      </c>
      <c r="O885" s="1001">
        <v>4500</v>
      </c>
      <c r="P885" s="1001">
        <v>12</v>
      </c>
      <c r="Q885" s="1001">
        <v>5000</v>
      </c>
      <c r="R885" s="1001"/>
      <c r="S885" s="1004"/>
      <c r="T885" s="1004"/>
    </row>
    <row r="886" spans="2:20" s="1003" customFormat="1" ht="38.25" x14ac:dyDescent="0.25">
      <c r="B886" s="1007" t="s">
        <v>3242</v>
      </c>
      <c r="C886" s="999" t="s">
        <v>3160</v>
      </c>
      <c r="D886" s="1015" t="s">
        <v>40</v>
      </c>
      <c r="E886" s="1001"/>
      <c r="F886" s="1001">
        <v>12</v>
      </c>
      <c r="G886" s="1001">
        <v>2000</v>
      </c>
      <c r="H886" s="1001">
        <v>12</v>
      </c>
      <c r="I886" s="1001">
        <v>2000</v>
      </c>
      <c r="J886" s="1001">
        <v>12</v>
      </c>
      <c r="K886" s="1001">
        <v>2000</v>
      </c>
      <c r="L886" s="1001">
        <v>12</v>
      </c>
      <c r="M886" s="1001">
        <v>10000</v>
      </c>
      <c r="N886" s="1001">
        <v>12</v>
      </c>
      <c r="O886" s="1001">
        <v>12000</v>
      </c>
      <c r="P886" s="1001">
        <v>12</v>
      </c>
      <c r="Q886" s="1001">
        <v>12000</v>
      </c>
      <c r="R886" s="1001"/>
      <c r="S886" s="1004"/>
      <c r="T886" s="1004"/>
    </row>
    <row r="887" spans="2:20" s="1003" customFormat="1" ht="38.25" x14ac:dyDescent="0.25">
      <c r="B887" s="1007" t="s">
        <v>3243</v>
      </c>
      <c r="C887" s="999" t="s">
        <v>3244</v>
      </c>
      <c r="D887" s="1015" t="s">
        <v>40</v>
      </c>
      <c r="E887" s="1001"/>
      <c r="F887" s="1001">
        <v>0</v>
      </c>
      <c r="G887" s="1001">
        <v>0</v>
      </c>
      <c r="H887" s="1001">
        <v>0</v>
      </c>
      <c r="I887" s="1001">
        <v>0</v>
      </c>
      <c r="J887" s="1001">
        <v>0</v>
      </c>
      <c r="K887" s="1001">
        <v>0</v>
      </c>
      <c r="L887" s="1001">
        <v>12</v>
      </c>
      <c r="M887" s="1001">
        <v>4500</v>
      </c>
      <c r="N887" s="1001">
        <v>12</v>
      </c>
      <c r="O887" s="1001">
        <v>5000</v>
      </c>
      <c r="P887" s="1001">
        <v>12</v>
      </c>
      <c r="Q887" s="1001">
        <v>5000</v>
      </c>
      <c r="R887" s="1001"/>
      <c r="S887" s="1004"/>
      <c r="T887" s="1004"/>
    </row>
    <row r="888" spans="2:20" s="1003" customFormat="1" ht="63.75" x14ac:dyDescent="0.25">
      <c r="B888" s="1106" t="s">
        <v>3245</v>
      </c>
      <c r="C888" s="1000" t="s">
        <v>3246</v>
      </c>
      <c r="D888" s="1025" t="s">
        <v>79</v>
      </c>
      <c r="E888" s="1001">
        <v>10</v>
      </c>
      <c r="F888" s="1001">
        <f>F889</f>
        <v>5</v>
      </c>
      <c r="G888" s="1001">
        <f>G889</f>
        <v>4000</v>
      </c>
      <c r="H888" s="1001">
        <f t="shared" ref="H888:Q888" si="82">H889</f>
        <v>6</v>
      </c>
      <c r="I888" s="1001">
        <f t="shared" si="82"/>
        <v>4000</v>
      </c>
      <c r="J888" s="1001">
        <f t="shared" si="82"/>
        <v>6</v>
      </c>
      <c r="K888" s="1001">
        <f t="shared" si="82"/>
        <v>5000</v>
      </c>
      <c r="L888" s="1001">
        <f t="shared" si="82"/>
        <v>6</v>
      </c>
      <c r="M888" s="1001">
        <f t="shared" si="82"/>
        <v>5000</v>
      </c>
      <c r="N888" s="1001">
        <f t="shared" si="82"/>
        <v>6</v>
      </c>
      <c r="O888" s="1001">
        <f t="shared" si="82"/>
        <v>6000</v>
      </c>
      <c r="P888" s="1001">
        <f t="shared" si="82"/>
        <v>6</v>
      </c>
      <c r="Q888" s="1001">
        <f t="shared" si="82"/>
        <v>7500</v>
      </c>
      <c r="R888" s="1001">
        <f>E888+F888+H888+J888+L888+N888</f>
        <v>39</v>
      </c>
      <c r="S888" s="1004"/>
      <c r="T888" s="1004"/>
    </row>
    <row r="889" spans="2:20" s="1003" customFormat="1" ht="102" x14ac:dyDescent="0.25">
      <c r="B889" s="998" t="s">
        <v>80</v>
      </c>
      <c r="C889" s="1000" t="s">
        <v>3526</v>
      </c>
      <c r="D889" s="1025" t="s">
        <v>79</v>
      </c>
      <c r="E889" s="1001"/>
      <c r="F889" s="1001">
        <v>5</v>
      </c>
      <c r="G889" s="1001">
        <v>4000</v>
      </c>
      <c r="H889" s="1001">
        <v>6</v>
      </c>
      <c r="I889" s="1001">
        <v>4000</v>
      </c>
      <c r="J889" s="1001">
        <v>6</v>
      </c>
      <c r="K889" s="1001">
        <v>5000</v>
      </c>
      <c r="L889" s="1001">
        <v>6</v>
      </c>
      <c r="M889" s="1001">
        <v>5000</v>
      </c>
      <c r="N889" s="1001">
        <v>6</v>
      </c>
      <c r="O889" s="1001">
        <v>6000</v>
      </c>
      <c r="P889" s="1001">
        <v>6</v>
      </c>
      <c r="Q889" s="1001">
        <v>7500</v>
      </c>
      <c r="R889" s="1001"/>
      <c r="S889" s="1004"/>
      <c r="T889" s="1004"/>
    </row>
    <row r="890" spans="2:20" s="1003" customFormat="1" ht="48" x14ac:dyDescent="0.25">
      <c r="B890" s="1106" t="s">
        <v>3248</v>
      </c>
      <c r="C890" s="1000" t="s">
        <v>3249</v>
      </c>
      <c r="D890" s="1025" t="s">
        <v>79</v>
      </c>
      <c r="E890" s="1001">
        <v>5</v>
      </c>
      <c r="F890" s="1001">
        <v>1</v>
      </c>
      <c r="G890" s="1001">
        <v>9200</v>
      </c>
      <c r="H890" s="1001">
        <f t="shared" ref="H890:P890" si="83">H891</f>
        <v>2</v>
      </c>
      <c r="I890" s="1001">
        <v>10350</v>
      </c>
      <c r="J890" s="1001">
        <f t="shared" si="83"/>
        <v>2</v>
      </c>
      <c r="K890" s="1001">
        <v>11000</v>
      </c>
      <c r="L890" s="1001">
        <f t="shared" si="83"/>
        <v>2</v>
      </c>
      <c r="M890" s="1001">
        <v>11000</v>
      </c>
      <c r="N890" s="1001">
        <f t="shared" si="83"/>
        <v>2</v>
      </c>
      <c r="O890" s="1001">
        <v>12000</v>
      </c>
      <c r="P890" s="1001">
        <f t="shared" si="83"/>
        <v>2</v>
      </c>
      <c r="Q890" s="1001">
        <v>12000</v>
      </c>
      <c r="R890" s="1001">
        <f>E890+F890+H890+J890+L890+N890</f>
        <v>14</v>
      </c>
      <c r="S890" s="1004"/>
      <c r="T890" s="1004"/>
    </row>
    <row r="891" spans="2:20" s="1003" customFormat="1" ht="63.75" x14ac:dyDescent="0.25">
      <c r="B891" s="998" t="s">
        <v>1712</v>
      </c>
      <c r="C891" s="1000" t="s">
        <v>3250</v>
      </c>
      <c r="D891" s="1025"/>
      <c r="E891" s="1001"/>
      <c r="F891" s="1001">
        <v>1</v>
      </c>
      <c r="G891" s="1001">
        <v>92000</v>
      </c>
      <c r="H891" s="1001">
        <v>2</v>
      </c>
      <c r="I891" s="1001">
        <v>10350</v>
      </c>
      <c r="J891" s="1001">
        <v>2</v>
      </c>
      <c r="K891" s="1001">
        <v>11000</v>
      </c>
      <c r="L891" s="1001">
        <v>2</v>
      </c>
      <c r="M891" s="1001">
        <v>11000</v>
      </c>
      <c r="N891" s="1001">
        <v>2</v>
      </c>
      <c r="O891" s="1001">
        <v>12000</v>
      </c>
      <c r="P891" s="1001">
        <v>2</v>
      </c>
      <c r="Q891" s="1001">
        <v>12000</v>
      </c>
      <c r="R891" s="1001"/>
      <c r="S891" s="1004"/>
      <c r="T891" s="1004"/>
    </row>
    <row r="892" spans="2:20" s="1003" customFormat="1" ht="63.75" customHeight="1" x14ac:dyDescent="0.25">
      <c r="B892" s="1065" t="s">
        <v>3251</v>
      </c>
      <c r="C892" s="1000" t="s">
        <v>3252</v>
      </c>
      <c r="D892" s="1025" t="s">
        <v>79</v>
      </c>
      <c r="E892" s="1001">
        <v>5</v>
      </c>
      <c r="F892" s="1001">
        <v>1</v>
      </c>
      <c r="G892" s="2114">
        <f>SUM(G894:G895)</f>
        <v>26700</v>
      </c>
      <c r="H892" s="1001">
        <v>1</v>
      </c>
      <c r="I892" s="2114">
        <f>SUM(I894:I895)</f>
        <v>23000</v>
      </c>
      <c r="J892" s="1001">
        <v>1</v>
      </c>
      <c r="K892" s="2114">
        <f>SUM(K894:K895)</f>
        <v>31000</v>
      </c>
      <c r="L892" s="1001">
        <v>1</v>
      </c>
      <c r="M892" s="2114">
        <f>SUM(M894:M895)</f>
        <v>33000</v>
      </c>
      <c r="N892" s="1001">
        <v>1</v>
      </c>
      <c r="O892" s="2114">
        <f>SUM(O894:O895)</f>
        <v>36000</v>
      </c>
      <c r="P892" s="1001">
        <v>1</v>
      </c>
      <c r="Q892" s="2114">
        <f>SUM(Q894:Q895)</f>
        <v>39500</v>
      </c>
      <c r="R892" s="1001">
        <f>E892+F892+H892+J892+L892+N892</f>
        <v>10</v>
      </c>
      <c r="S892" s="1004"/>
      <c r="T892" s="1004"/>
    </row>
    <row r="893" spans="2:20" s="1003" customFormat="1" ht="38.25" x14ac:dyDescent="0.25">
      <c r="B893" s="1066"/>
      <c r="C893" s="1000" t="s">
        <v>3253</v>
      </c>
      <c r="D893" s="1025" t="s">
        <v>79</v>
      </c>
      <c r="E893" s="1001">
        <v>5</v>
      </c>
      <c r="F893" s="1001">
        <v>1</v>
      </c>
      <c r="G893" s="2114"/>
      <c r="H893" s="1001">
        <v>1</v>
      </c>
      <c r="I893" s="2114"/>
      <c r="J893" s="1001">
        <v>1</v>
      </c>
      <c r="K893" s="2114"/>
      <c r="L893" s="1001">
        <v>1</v>
      </c>
      <c r="M893" s="2114"/>
      <c r="N893" s="1001">
        <v>1</v>
      </c>
      <c r="O893" s="2114"/>
      <c r="P893" s="1001">
        <v>1</v>
      </c>
      <c r="Q893" s="2114"/>
      <c r="R893" s="1001">
        <f>E893+F893+H893+J893+L893+N893</f>
        <v>10</v>
      </c>
      <c r="S893" s="1004"/>
      <c r="T893" s="1004"/>
    </row>
    <row r="894" spans="2:20" s="1003" customFormat="1" ht="38.25" x14ac:dyDescent="0.25">
      <c r="B894" s="998" t="s">
        <v>3254</v>
      </c>
      <c r="C894" s="1000" t="s">
        <v>3255</v>
      </c>
      <c r="D894" s="1025" t="s">
        <v>103</v>
      </c>
      <c r="E894" s="1001"/>
      <c r="F894" s="1001">
        <v>2</v>
      </c>
      <c r="G894" s="1001">
        <v>20700</v>
      </c>
      <c r="H894" s="1001">
        <v>2</v>
      </c>
      <c r="I894" s="1001">
        <v>23000</v>
      </c>
      <c r="J894" s="1001">
        <v>2</v>
      </c>
      <c r="K894" s="1001">
        <v>25000</v>
      </c>
      <c r="L894" s="1001">
        <v>2</v>
      </c>
      <c r="M894" s="1001">
        <v>25000</v>
      </c>
      <c r="N894" s="1001">
        <v>2</v>
      </c>
      <c r="O894" s="1001">
        <v>27000</v>
      </c>
      <c r="P894" s="1001">
        <v>2</v>
      </c>
      <c r="Q894" s="1001">
        <v>30000</v>
      </c>
      <c r="R894" s="1001"/>
      <c r="S894" s="1004"/>
      <c r="T894" s="1004"/>
    </row>
    <row r="895" spans="2:20" s="1003" customFormat="1" ht="51" x14ac:dyDescent="0.25">
      <c r="B895" s="998" t="s">
        <v>3256</v>
      </c>
      <c r="C895" s="1000" t="s">
        <v>3257</v>
      </c>
      <c r="D895" s="1025" t="s">
        <v>103</v>
      </c>
      <c r="E895" s="1001"/>
      <c r="F895" s="1001">
        <v>2</v>
      </c>
      <c r="G895" s="1001">
        <v>6000</v>
      </c>
      <c r="H895" s="1001">
        <v>0</v>
      </c>
      <c r="I895" s="1001">
        <v>0</v>
      </c>
      <c r="J895" s="1001">
        <v>2</v>
      </c>
      <c r="K895" s="1001">
        <v>6000</v>
      </c>
      <c r="L895" s="1001">
        <v>2</v>
      </c>
      <c r="M895" s="1001">
        <v>8000</v>
      </c>
      <c r="N895" s="1001">
        <v>2</v>
      </c>
      <c r="O895" s="1001">
        <v>9000</v>
      </c>
      <c r="P895" s="1001">
        <v>2</v>
      </c>
      <c r="Q895" s="1001">
        <v>9500</v>
      </c>
      <c r="R895" s="1001"/>
      <c r="S895" s="1004"/>
      <c r="T895" s="1004"/>
    </row>
    <row r="896" spans="2:20" s="1003" customFormat="1" ht="51" x14ac:dyDescent="0.25">
      <c r="B896" s="1106" t="s">
        <v>3420</v>
      </c>
      <c r="C896" s="1000" t="s">
        <v>3386</v>
      </c>
      <c r="D896" s="1025" t="s">
        <v>19</v>
      </c>
      <c r="E896" s="1001">
        <v>100</v>
      </c>
      <c r="F896" s="1001">
        <v>100</v>
      </c>
      <c r="G896" s="1001">
        <f>G897</f>
        <v>53000</v>
      </c>
      <c r="H896" s="1001">
        <v>100</v>
      </c>
      <c r="I896" s="1001">
        <f>I897</f>
        <v>51000</v>
      </c>
      <c r="J896" s="1001">
        <v>100</v>
      </c>
      <c r="K896" s="1001">
        <f>K897</f>
        <v>60000</v>
      </c>
      <c r="L896" s="1001">
        <v>100</v>
      </c>
      <c r="M896" s="1001">
        <f>M897</f>
        <v>60000</v>
      </c>
      <c r="N896" s="1001">
        <v>100</v>
      </c>
      <c r="O896" s="1001">
        <f>O897</f>
        <v>65000</v>
      </c>
      <c r="P896" s="1001">
        <v>100</v>
      </c>
      <c r="Q896" s="1001">
        <f>Q897</f>
        <v>65000</v>
      </c>
      <c r="R896" s="1001">
        <v>100</v>
      </c>
      <c r="S896" s="1004"/>
      <c r="T896" s="1004"/>
    </row>
    <row r="897" spans="2:20" s="1003" customFormat="1" ht="25.5" x14ac:dyDescent="0.25">
      <c r="B897" s="998" t="s">
        <v>3421</v>
      </c>
      <c r="C897" s="1000" t="s">
        <v>3422</v>
      </c>
      <c r="D897" s="1025" t="s">
        <v>40</v>
      </c>
      <c r="E897" s="1001"/>
      <c r="F897" s="1001">
        <v>12</v>
      </c>
      <c r="G897" s="1001">
        <v>53000</v>
      </c>
      <c r="H897" s="1001">
        <v>12</v>
      </c>
      <c r="I897" s="1001">
        <v>51000</v>
      </c>
      <c r="J897" s="1001">
        <v>12</v>
      </c>
      <c r="K897" s="1001">
        <v>60000</v>
      </c>
      <c r="L897" s="1001">
        <v>12</v>
      </c>
      <c r="M897" s="1001">
        <v>60000</v>
      </c>
      <c r="N897" s="1001">
        <v>12</v>
      </c>
      <c r="O897" s="1001">
        <v>65000</v>
      </c>
      <c r="P897" s="1001">
        <v>12</v>
      </c>
      <c r="Q897" s="1001">
        <v>65000</v>
      </c>
      <c r="R897" s="1001"/>
      <c r="S897" s="1004"/>
      <c r="T897" s="1004"/>
    </row>
    <row r="898" spans="2:20" s="1003" customFormat="1" ht="84" x14ac:dyDescent="0.25">
      <c r="B898" s="1106" t="s">
        <v>1743</v>
      </c>
      <c r="C898" s="1000" t="s">
        <v>3265</v>
      </c>
      <c r="D898" s="1025" t="s">
        <v>19</v>
      </c>
      <c r="E898" s="1001">
        <v>50</v>
      </c>
      <c r="F898" s="1001">
        <v>60</v>
      </c>
      <c r="G898" s="1001">
        <f>SUM(G899:G900)</f>
        <v>64400</v>
      </c>
      <c r="H898" s="1001">
        <v>70</v>
      </c>
      <c r="I898" s="1001">
        <f>SUM(I899:I900)</f>
        <v>43700</v>
      </c>
      <c r="J898" s="1001">
        <v>80</v>
      </c>
      <c r="K898" s="1001">
        <f>SUM(K899:K900)</f>
        <v>46000</v>
      </c>
      <c r="L898" s="1001">
        <v>90</v>
      </c>
      <c r="M898" s="1001">
        <f>SUM(M899:M900)</f>
        <v>47000</v>
      </c>
      <c r="N898" s="1001">
        <v>100</v>
      </c>
      <c r="O898" s="1001">
        <f>SUM(O899:O900)</f>
        <v>52000</v>
      </c>
      <c r="P898" s="1001">
        <v>100</v>
      </c>
      <c r="Q898" s="1001">
        <f>SUM(Q899:Q900)</f>
        <v>55000</v>
      </c>
      <c r="R898" s="1001">
        <v>100</v>
      </c>
      <c r="S898" s="1004"/>
      <c r="T898" s="1004"/>
    </row>
    <row r="899" spans="2:20" s="1003" customFormat="1" ht="25.5" x14ac:dyDescent="0.25">
      <c r="B899" s="998" t="s">
        <v>3266</v>
      </c>
      <c r="C899" s="1000" t="s">
        <v>3267</v>
      </c>
      <c r="D899" s="1025" t="s">
        <v>103</v>
      </c>
      <c r="E899" s="1001"/>
      <c r="F899" s="1001">
        <v>23</v>
      </c>
      <c r="G899" s="1001">
        <v>52900</v>
      </c>
      <c r="H899" s="1001">
        <v>23</v>
      </c>
      <c r="I899" s="1001">
        <v>32200</v>
      </c>
      <c r="J899" s="1001">
        <v>23</v>
      </c>
      <c r="K899" s="1001">
        <v>34000</v>
      </c>
      <c r="L899" s="1001">
        <v>23</v>
      </c>
      <c r="M899" s="1001">
        <v>35000</v>
      </c>
      <c r="N899" s="1001">
        <v>23</v>
      </c>
      <c r="O899" s="1001">
        <v>38000</v>
      </c>
      <c r="P899" s="1001">
        <v>23</v>
      </c>
      <c r="Q899" s="1001">
        <v>40000</v>
      </c>
      <c r="R899" s="1001"/>
      <c r="S899" s="1004"/>
      <c r="T899" s="1004"/>
    </row>
    <row r="900" spans="2:20" s="1003" customFormat="1" ht="76.5" x14ac:dyDescent="0.25">
      <c r="B900" s="998" t="s">
        <v>3390</v>
      </c>
      <c r="C900" s="1000" t="s">
        <v>3527</v>
      </c>
      <c r="D900" s="1025" t="s">
        <v>103</v>
      </c>
      <c r="E900" s="1001"/>
      <c r="F900" s="1001">
        <v>23</v>
      </c>
      <c r="G900" s="1001">
        <v>11500</v>
      </c>
      <c r="H900" s="1001">
        <v>23</v>
      </c>
      <c r="I900" s="1001">
        <v>11500</v>
      </c>
      <c r="J900" s="1001">
        <v>23</v>
      </c>
      <c r="K900" s="1001">
        <v>12000</v>
      </c>
      <c r="L900" s="1001">
        <v>23</v>
      </c>
      <c r="M900" s="1001">
        <v>12000</v>
      </c>
      <c r="N900" s="1001">
        <v>23</v>
      </c>
      <c r="O900" s="1001">
        <v>14000</v>
      </c>
      <c r="P900" s="1001">
        <v>0</v>
      </c>
      <c r="Q900" s="1001">
        <v>15000</v>
      </c>
      <c r="R900" s="1001"/>
      <c r="S900" s="1004"/>
      <c r="T900" s="1004"/>
    </row>
    <row r="901" spans="2:20" s="1003" customFormat="1" ht="76.5" customHeight="1" x14ac:dyDescent="0.25">
      <c r="B901" s="1063" t="s">
        <v>3425</v>
      </c>
      <c r="C901" s="1000" t="s">
        <v>3528</v>
      </c>
      <c r="D901" s="1025" t="s">
        <v>79</v>
      </c>
      <c r="E901" s="1001">
        <v>1</v>
      </c>
      <c r="F901" s="1001">
        <v>1</v>
      </c>
      <c r="G901" s="1001">
        <f>G902</f>
        <v>6900</v>
      </c>
      <c r="H901" s="1001">
        <v>1</v>
      </c>
      <c r="I901" s="1001">
        <f>I902</f>
        <v>8050</v>
      </c>
      <c r="J901" s="1001">
        <v>1</v>
      </c>
      <c r="K901" s="1001">
        <f>K902</f>
        <v>5000</v>
      </c>
      <c r="L901" s="1001">
        <v>1</v>
      </c>
      <c r="M901" s="1001">
        <f>M902</f>
        <v>8000</v>
      </c>
      <c r="N901" s="1001">
        <v>1</v>
      </c>
      <c r="O901" s="1001">
        <f>O902</f>
        <v>8000</v>
      </c>
      <c r="P901" s="1001">
        <v>1</v>
      </c>
      <c r="Q901" s="1001">
        <f>Q902</f>
        <v>8000</v>
      </c>
      <c r="R901" s="1001">
        <f>E901+F901+H901+J901+L901+N901</f>
        <v>6</v>
      </c>
      <c r="S901" s="1004"/>
      <c r="T901" s="1004"/>
    </row>
    <row r="902" spans="2:20" s="1003" customFormat="1" ht="25.5" x14ac:dyDescent="0.25">
      <c r="B902" s="1008" t="s">
        <v>3277</v>
      </c>
      <c r="C902" s="1000" t="s">
        <v>3278</v>
      </c>
      <c r="D902" s="1025" t="s">
        <v>103</v>
      </c>
      <c r="E902" s="1001"/>
      <c r="F902" s="1001">
        <v>23</v>
      </c>
      <c r="G902" s="1001">
        <v>6900</v>
      </c>
      <c r="H902" s="1001">
        <v>23</v>
      </c>
      <c r="I902" s="1001">
        <v>8050</v>
      </c>
      <c r="J902" s="1001">
        <v>23</v>
      </c>
      <c r="K902" s="1001">
        <v>5000</v>
      </c>
      <c r="L902" s="1001">
        <v>23</v>
      </c>
      <c r="M902" s="1001">
        <v>8000</v>
      </c>
      <c r="N902" s="1001">
        <v>23</v>
      </c>
      <c r="O902" s="1001">
        <v>8000</v>
      </c>
      <c r="P902" s="1001">
        <v>23</v>
      </c>
      <c r="Q902" s="1001">
        <v>8000</v>
      </c>
      <c r="R902" s="1001"/>
      <c r="S902" s="1004"/>
      <c r="T902" s="1004"/>
    </row>
    <row r="903" spans="2:20" s="1003" customFormat="1" ht="63.75" customHeight="1" x14ac:dyDescent="0.25">
      <c r="B903" s="1063" t="s">
        <v>3280</v>
      </c>
      <c r="C903" s="1000" t="s">
        <v>3279</v>
      </c>
      <c r="D903" s="1025" t="s">
        <v>327</v>
      </c>
      <c r="E903" s="1001">
        <v>16</v>
      </c>
      <c r="F903" s="1001">
        <v>23</v>
      </c>
      <c r="G903" s="1001">
        <f>SUM(G904:G905)</f>
        <v>4000</v>
      </c>
      <c r="H903" s="1001">
        <v>23</v>
      </c>
      <c r="I903" s="1001">
        <f>SUM(I904:I905)</f>
        <v>4500</v>
      </c>
      <c r="J903" s="1001">
        <v>23</v>
      </c>
      <c r="K903" s="1001">
        <f>SUM(K904:K905)</f>
        <v>5000</v>
      </c>
      <c r="L903" s="1001">
        <v>23</v>
      </c>
      <c r="M903" s="1001">
        <f>SUM(M904:M905)</f>
        <v>7000</v>
      </c>
      <c r="N903" s="1001">
        <v>23</v>
      </c>
      <c r="O903" s="1001">
        <f>SUM(O904:O905)</f>
        <v>8000</v>
      </c>
      <c r="P903" s="1001">
        <v>23</v>
      </c>
      <c r="Q903" s="1001">
        <f>SUM(Q904:Q905)</f>
        <v>8000</v>
      </c>
      <c r="R903" s="1001">
        <f>N903</f>
        <v>23</v>
      </c>
      <c r="S903" s="1004"/>
      <c r="T903" s="1004"/>
    </row>
    <row r="904" spans="2:20" s="1003" customFormat="1" ht="38.25" x14ac:dyDescent="0.25">
      <c r="B904" s="1008" t="s">
        <v>1298</v>
      </c>
      <c r="C904" s="1000" t="s">
        <v>3281</v>
      </c>
      <c r="D904" s="1025" t="s">
        <v>327</v>
      </c>
      <c r="E904" s="1001"/>
      <c r="F904" s="1001">
        <v>0</v>
      </c>
      <c r="G904" s="1001">
        <v>0</v>
      </c>
      <c r="H904" s="1001">
        <v>0</v>
      </c>
      <c r="I904" s="1001">
        <v>0</v>
      </c>
      <c r="J904" s="1001">
        <v>0</v>
      </c>
      <c r="K904" s="1001">
        <v>0</v>
      </c>
      <c r="L904" s="1001">
        <v>0</v>
      </c>
      <c r="M904" s="1001">
        <v>0</v>
      </c>
      <c r="N904" s="1001">
        <v>0</v>
      </c>
      <c r="O904" s="1001">
        <v>0</v>
      </c>
      <c r="P904" s="1001">
        <v>0</v>
      </c>
      <c r="Q904" s="1001">
        <v>0</v>
      </c>
      <c r="R904" s="1001"/>
      <c r="S904" s="1004"/>
      <c r="T904" s="1004"/>
    </row>
    <row r="905" spans="2:20" s="1003" customFormat="1" ht="76.5" x14ac:dyDescent="0.25">
      <c r="B905" s="1008" t="s">
        <v>3282</v>
      </c>
      <c r="C905" s="1000" t="s">
        <v>3529</v>
      </c>
      <c r="D905" s="1025" t="s">
        <v>327</v>
      </c>
      <c r="E905" s="1001"/>
      <c r="F905" s="1001">
        <v>23</v>
      </c>
      <c r="G905" s="1001">
        <v>4000</v>
      </c>
      <c r="H905" s="1001">
        <v>23</v>
      </c>
      <c r="I905" s="1001">
        <v>4500</v>
      </c>
      <c r="J905" s="1001">
        <v>23</v>
      </c>
      <c r="K905" s="1001">
        <v>5000</v>
      </c>
      <c r="L905" s="1001">
        <v>23</v>
      </c>
      <c r="M905" s="1001">
        <v>7000</v>
      </c>
      <c r="N905" s="1001">
        <v>23</v>
      </c>
      <c r="O905" s="1001">
        <v>8000</v>
      </c>
      <c r="P905" s="1001">
        <v>23</v>
      </c>
      <c r="Q905" s="1001">
        <v>8000</v>
      </c>
      <c r="R905" s="1001"/>
      <c r="S905" s="1004"/>
      <c r="T905" s="1004"/>
    </row>
    <row r="906" spans="2:20" s="1003" customFormat="1" ht="60" x14ac:dyDescent="0.25">
      <c r="B906" s="1106" t="s">
        <v>3284</v>
      </c>
      <c r="C906" s="1009" t="s">
        <v>3530</v>
      </c>
      <c r="D906" s="1025" t="s">
        <v>364</v>
      </c>
      <c r="E906" s="1001">
        <v>46</v>
      </c>
      <c r="F906" s="1001">
        <v>46</v>
      </c>
      <c r="G906" s="1001">
        <v>6000</v>
      </c>
      <c r="H906" s="1001">
        <v>46</v>
      </c>
      <c r="I906" s="1001">
        <v>6370</v>
      </c>
      <c r="J906" s="1001">
        <v>46</v>
      </c>
      <c r="K906" s="1001">
        <f>K907</f>
        <v>6000</v>
      </c>
      <c r="L906" s="1001">
        <v>46</v>
      </c>
      <c r="M906" s="1001">
        <f>M907</f>
        <v>7000</v>
      </c>
      <c r="N906" s="1001">
        <v>46</v>
      </c>
      <c r="O906" s="1001">
        <f>O907</f>
        <v>8000</v>
      </c>
      <c r="P906" s="1001">
        <v>46</v>
      </c>
      <c r="Q906" s="1001">
        <f>Q907</f>
        <v>8000</v>
      </c>
      <c r="R906" s="1001">
        <f>N906</f>
        <v>46</v>
      </c>
      <c r="S906" s="1004"/>
      <c r="T906" s="1004"/>
    </row>
    <row r="907" spans="2:20" s="1003" customFormat="1" ht="63.75" x14ac:dyDescent="0.25">
      <c r="B907" s="998" t="s">
        <v>3286</v>
      </c>
      <c r="C907" s="1009" t="s">
        <v>3287</v>
      </c>
      <c r="D907" s="1025" t="s">
        <v>100</v>
      </c>
      <c r="E907" s="1001"/>
      <c r="F907" s="1001">
        <v>46</v>
      </c>
      <c r="G907" s="1001">
        <v>6000</v>
      </c>
      <c r="H907" s="1001">
        <v>46</v>
      </c>
      <c r="I907" s="1001">
        <v>6370</v>
      </c>
      <c r="J907" s="1001">
        <v>46</v>
      </c>
      <c r="K907" s="1001">
        <v>6000</v>
      </c>
      <c r="L907" s="1001">
        <v>46</v>
      </c>
      <c r="M907" s="1001">
        <v>7000</v>
      </c>
      <c r="N907" s="1001">
        <v>46</v>
      </c>
      <c r="O907" s="1001">
        <v>8000</v>
      </c>
      <c r="P907" s="1001">
        <v>46</v>
      </c>
      <c r="Q907" s="1001">
        <v>8000</v>
      </c>
      <c r="R907" s="1001"/>
      <c r="S907" s="1004"/>
      <c r="T907" s="1004"/>
    </row>
    <row r="908" spans="2:20" s="1003" customFormat="1" ht="76.5" x14ac:dyDescent="0.25">
      <c r="B908" s="1106" t="s">
        <v>3289</v>
      </c>
      <c r="C908" s="1009" t="s">
        <v>3531</v>
      </c>
      <c r="D908" s="1025" t="s">
        <v>100</v>
      </c>
      <c r="E908" s="1001">
        <v>30</v>
      </c>
      <c r="F908" s="1001">
        <f>F909</f>
        <v>3</v>
      </c>
      <c r="G908" s="1001">
        <f t="shared" ref="G908:Q908" si="84">G909</f>
        <v>12000</v>
      </c>
      <c r="H908" s="1001">
        <f t="shared" si="84"/>
        <v>0</v>
      </c>
      <c r="I908" s="1001">
        <f t="shared" si="84"/>
        <v>0</v>
      </c>
      <c r="J908" s="1001">
        <f t="shared" si="84"/>
        <v>3</v>
      </c>
      <c r="K908" s="1001">
        <f t="shared" si="84"/>
        <v>12000</v>
      </c>
      <c r="L908" s="1001">
        <f t="shared" si="84"/>
        <v>3</v>
      </c>
      <c r="M908" s="1001">
        <f t="shared" si="84"/>
        <v>15000</v>
      </c>
      <c r="N908" s="1001">
        <f t="shared" si="84"/>
        <v>3</v>
      </c>
      <c r="O908" s="1001">
        <f t="shared" si="84"/>
        <v>16000</v>
      </c>
      <c r="P908" s="1001">
        <f t="shared" si="84"/>
        <v>3</v>
      </c>
      <c r="Q908" s="1001">
        <f t="shared" si="84"/>
        <v>16500</v>
      </c>
      <c r="R908" s="1001">
        <f>F908+H908+J908+L908+N908</f>
        <v>12</v>
      </c>
      <c r="S908" s="1004"/>
      <c r="T908" s="1004"/>
    </row>
    <row r="909" spans="2:20" s="1003" customFormat="1" ht="76.5" x14ac:dyDescent="0.25">
      <c r="B909" s="998" t="s">
        <v>894</v>
      </c>
      <c r="C909" s="1009" t="s">
        <v>3532</v>
      </c>
      <c r="D909" s="1025" t="s">
        <v>100</v>
      </c>
      <c r="E909" s="1001"/>
      <c r="F909" s="1001">
        <v>3</v>
      </c>
      <c r="G909" s="1001">
        <v>12000</v>
      </c>
      <c r="H909" s="1001">
        <v>0</v>
      </c>
      <c r="I909" s="1001">
        <v>0</v>
      </c>
      <c r="J909" s="1001">
        <v>3</v>
      </c>
      <c r="K909" s="1001">
        <v>12000</v>
      </c>
      <c r="L909" s="1001">
        <v>3</v>
      </c>
      <c r="M909" s="1001">
        <v>15000</v>
      </c>
      <c r="N909" s="1001">
        <v>3</v>
      </c>
      <c r="O909" s="1001">
        <v>16000</v>
      </c>
      <c r="P909" s="1001">
        <v>3</v>
      </c>
      <c r="Q909" s="1001">
        <v>16500</v>
      </c>
      <c r="R909" s="1001"/>
      <c r="S909" s="1004"/>
      <c r="T909" s="1004"/>
    </row>
    <row r="910" spans="2:20" s="1003" customFormat="1" ht="60" x14ac:dyDescent="0.25">
      <c r="B910" s="1063" t="s">
        <v>3292</v>
      </c>
      <c r="C910" s="1000" t="s">
        <v>3291</v>
      </c>
      <c r="D910" s="1025" t="s">
        <v>19</v>
      </c>
      <c r="E910" s="1001">
        <v>0</v>
      </c>
      <c r="F910" s="1001">
        <v>0</v>
      </c>
      <c r="G910" s="1001">
        <f>G911</f>
        <v>0</v>
      </c>
      <c r="H910" s="1001">
        <f>H911</f>
        <v>2</v>
      </c>
      <c r="I910" s="1001">
        <f>I911</f>
        <v>4000</v>
      </c>
      <c r="J910" s="1001"/>
      <c r="K910" s="1001">
        <f>K911</f>
        <v>0</v>
      </c>
      <c r="L910" s="1001">
        <f>L911</f>
        <v>21</v>
      </c>
      <c r="M910" s="1001">
        <f>M911</f>
        <v>44000</v>
      </c>
      <c r="N910" s="1001"/>
      <c r="O910" s="1001">
        <f>O911</f>
        <v>0</v>
      </c>
      <c r="P910" s="1001"/>
      <c r="Q910" s="1001">
        <f>Q911</f>
        <v>0</v>
      </c>
      <c r="R910" s="1001">
        <f>H910+L910</f>
        <v>23</v>
      </c>
      <c r="S910" s="1004"/>
      <c r="T910" s="1004"/>
    </row>
    <row r="911" spans="2:20" s="1003" customFormat="1" ht="38.25" x14ac:dyDescent="0.25">
      <c r="B911" s="1008" t="s">
        <v>3293</v>
      </c>
      <c r="C911" s="1000" t="s">
        <v>3294</v>
      </c>
      <c r="D911" s="1025" t="s">
        <v>103</v>
      </c>
      <c r="E911" s="1001"/>
      <c r="F911" s="1001">
        <v>0</v>
      </c>
      <c r="G911" s="1001">
        <v>0</v>
      </c>
      <c r="H911" s="1001">
        <v>2</v>
      </c>
      <c r="I911" s="1001">
        <v>4000</v>
      </c>
      <c r="J911" s="1001"/>
      <c r="K911" s="1001"/>
      <c r="L911" s="1001">
        <v>21</v>
      </c>
      <c r="M911" s="1001">
        <v>44000</v>
      </c>
      <c r="N911" s="1001">
        <v>0</v>
      </c>
      <c r="O911" s="1001">
        <v>0</v>
      </c>
      <c r="P911" s="1001">
        <v>0</v>
      </c>
      <c r="Q911" s="1001">
        <v>0</v>
      </c>
      <c r="R911" s="1001"/>
      <c r="S911" s="1004"/>
      <c r="T911" s="1004"/>
    </row>
    <row r="912" spans="2:20" s="1003" customFormat="1" ht="60" x14ac:dyDescent="0.25">
      <c r="B912" s="1063" t="s">
        <v>3296</v>
      </c>
      <c r="C912" s="1000"/>
      <c r="D912" s="1025" t="s">
        <v>97</v>
      </c>
      <c r="E912" s="1001">
        <v>23</v>
      </c>
      <c r="F912" s="1001">
        <v>23</v>
      </c>
      <c r="G912" s="1001">
        <f t="shared" ref="G912:Q912" si="85">G913</f>
        <v>4600</v>
      </c>
      <c r="H912" s="1001">
        <f t="shared" si="85"/>
        <v>23</v>
      </c>
      <c r="I912" s="1001">
        <f t="shared" si="85"/>
        <v>5750</v>
      </c>
      <c r="J912" s="1001">
        <f t="shared" si="85"/>
        <v>23</v>
      </c>
      <c r="K912" s="1001">
        <f t="shared" si="85"/>
        <v>5750</v>
      </c>
      <c r="L912" s="1001">
        <f t="shared" si="85"/>
        <v>23</v>
      </c>
      <c r="M912" s="1001">
        <f t="shared" si="85"/>
        <v>6000</v>
      </c>
      <c r="N912" s="1001">
        <f t="shared" si="85"/>
        <v>23</v>
      </c>
      <c r="O912" s="1001">
        <f t="shared" si="85"/>
        <v>6000</v>
      </c>
      <c r="P912" s="1001">
        <f t="shared" si="85"/>
        <v>23</v>
      </c>
      <c r="Q912" s="1001">
        <f t="shared" si="85"/>
        <v>6500</v>
      </c>
      <c r="R912" s="1001">
        <f>N912</f>
        <v>23</v>
      </c>
      <c r="S912" s="1004"/>
      <c r="T912" s="1004"/>
    </row>
    <row r="913" spans="2:20" s="1003" customFormat="1" x14ac:dyDescent="0.25">
      <c r="B913" s="1008" t="s">
        <v>383</v>
      </c>
      <c r="C913" s="1000" t="s">
        <v>3297</v>
      </c>
      <c r="D913" s="1025"/>
      <c r="E913" s="1001"/>
      <c r="F913" s="1001">
        <v>23</v>
      </c>
      <c r="G913" s="1001">
        <v>4600</v>
      </c>
      <c r="H913" s="1001">
        <v>23</v>
      </c>
      <c r="I913" s="1001">
        <v>5750</v>
      </c>
      <c r="J913" s="1001">
        <v>23</v>
      </c>
      <c r="K913" s="1001">
        <v>5750</v>
      </c>
      <c r="L913" s="1001">
        <v>23</v>
      </c>
      <c r="M913" s="1001">
        <v>6000</v>
      </c>
      <c r="N913" s="1001">
        <v>23</v>
      </c>
      <c r="O913" s="1001">
        <v>6000</v>
      </c>
      <c r="P913" s="1001">
        <v>23</v>
      </c>
      <c r="Q913" s="1001">
        <v>6500</v>
      </c>
      <c r="R913" s="1001"/>
      <c r="S913" s="1004"/>
      <c r="T913" s="1004"/>
    </row>
    <row r="914" spans="2:20" s="1003" customFormat="1" ht="72" x14ac:dyDescent="0.25">
      <c r="B914" s="1106" t="s">
        <v>3533</v>
      </c>
      <c r="C914" s="1000" t="s">
        <v>3534</v>
      </c>
      <c r="D914" s="1025" t="s">
        <v>97</v>
      </c>
      <c r="E914" s="1001">
        <v>23</v>
      </c>
      <c r="F914" s="1001">
        <v>23</v>
      </c>
      <c r="G914" s="1001">
        <f>G915</f>
        <v>5063</v>
      </c>
      <c r="H914" s="1001">
        <v>23</v>
      </c>
      <c r="I914" s="1001">
        <f>I915</f>
        <v>6000</v>
      </c>
      <c r="J914" s="1001">
        <v>23</v>
      </c>
      <c r="K914" s="1001">
        <f>K915</f>
        <v>7000</v>
      </c>
      <c r="L914" s="1001">
        <v>23</v>
      </c>
      <c r="M914" s="1001">
        <f>M915</f>
        <v>7500</v>
      </c>
      <c r="N914" s="1001">
        <v>23</v>
      </c>
      <c r="O914" s="1001">
        <f>O915</f>
        <v>8000</v>
      </c>
      <c r="P914" s="1001">
        <v>23</v>
      </c>
      <c r="Q914" s="1001">
        <f>Q915</f>
        <v>8000</v>
      </c>
      <c r="R914" s="1001"/>
      <c r="S914" s="1004"/>
      <c r="T914" s="1004"/>
    </row>
    <row r="915" spans="2:20" s="1003" customFormat="1" ht="38.25" x14ac:dyDescent="0.25">
      <c r="B915" s="1008" t="s">
        <v>3535</v>
      </c>
      <c r="C915" s="1000"/>
      <c r="D915" s="1025" t="s">
        <v>265</v>
      </c>
      <c r="E915" s="1001">
        <v>23</v>
      </c>
      <c r="F915" s="1001">
        <v>23</v>
      </c>
      <c r="G915" s="1001">
        <v>5063</v>
      </c>
      <c r="H915" s="1001">
        <v>23</v>
      </c>
      <c r="I915" s="1001">
        <v>6000</v>
      </c>
      <c r="J915" s="1001">
        <v>23</v>
      </c>
      <c r="K915" s="1001">
        <v>7000</v>
      </c>
      <c r="L915" s="1001">
        <v>23</v>
      </c>
      <c r="M915" s="1001">
        <v>7500</v>
      </c>
      <c r="N915" s="1001">
        <v>23</v>
      </c>
      <c r="O915" s="1001">
        <v>8000</v>
      </c>
      <c r="P915" s="1001">
        <v>23</v>
      </c>
      <c r="Q915" s="1001">
        <v>8000</v>
      </c>
      <c r="R915" s="1001"/>
      <c r="S915" s="1004"/>
      <c r="T915" s="1004"/>
    </row>
    <row r="916" spans="2:20" s="1032" customFormat="1" x14ac:dyDescent="0.25">
      <c r="B916" s="1027" t="s">
        <v>2651</v>
      </c>
      <c r="C916" s="1033"/>
      <c r="D916" s="1034"/>
      <c r="E916" s="1033"/>
      <c r="F916" s="1033"/>
      <c r="G916" s="1035">
        <f>G912+G910+G908+G906+G903+G901+G898+G896+G892+G890+G888+G879+G865+G914</f>
        <v>293563</v>
      </c>
      <c r="H916" s="1033"/>
      <c r="I916" s="1035">
        <f>I912+I910+I908+I906+I903+I901+I898+I896+I892+I890+I888+I879+I865</f>
        <v>284820</v>
      </c>
      <c r="J916" s="1033"/>
      <c r="K916" s="1035">
        <f>K912+K910+K908+K906+K903+K901+K898+K896+K892+K890+K888+K879+K865</f>
        <v>322250</v>
      </c>
      <c r="L916" s="1033"/>
      <c r="M916" s="1035">
        <f>M912+M910+M908+M906+M903+M901+M898+M896+M892+M890+M888+M879+M865</f>
        <v>428500</v>
      </c>
      <c r="N916" s="1033"/>
      <c r="O916" s="1035">
        <f>O912+O910+O908+O906+O903+O901+O898+O896+O892+O890+O888+O879+O865</f>
        <v>377000</v>
      </c>
      <c r="P916" s="1033"/>
      <c r="Q916" s="1035">
        <f>Q912+Q910+Q908+Q906+Q903+Q901+Q898+Q896+Q892+Q890+Q888+Q879+Q865</f>
        <v>417500</v>
      </c>
      <c r="R916" s="1033"/>
      <c r="S916" s="1036"/>
      <c r="T916" s="1036"/>
    </row>
    <row r="917" spans="2:20" s="1003" customFormat="1" x14ac:dyDescent="0.25">
      <c r="B917" s="1005"/>
      <c r="C917" s="1100"/>
      <c r="D917" s="1000"/>
      <c r="E917" s="1001"/>
      <c r="F917" s="1001"/>
      <c r="G917" s="1001"/>
      <c r="H917" s="1001"/>
      <c r="I917" s="1001"/>
      <c r="J917" s="1001"/>
      <c r="K917" s="1001"/>
      <c r="L917" s="1001"/>
      <c r="M917" s="1001"/>
      <c r="N917" s="1001"/>
      <c r="O917" s="1001"/>
      <c r="P917" s="1001"/>
      <c r="Q917" s="1001"/>
      <c r="R917" s="1001"/>
      <c r="S917" s="1004"/>
      <c r="T917" s="1004"/>
    </row>
    <row r="918" spans="2:20" s="1003" customFormat="1" x14ac:dyDescent="0.25">
      <c r="B918" s="1167" t="s">
        <v>3536</v>
      </c>
      <c r="C918" s="1100"/>
      <c r="D918" s="1000"/>
      <c r="E918" s="1001"/>
      <c r="F918" s="1001"/>
      <c r="G918" s="1001"/>
      <c r="H918" s="1001"/>
      <c r="I918" s="1001"/>
      <c r="J918" s="1001"/>
      <c r="K918" s="1001"/>
      <c r="L918" s="1001"/>
      <c r="M918" s="1001"/>
      <c r="N918" s="1001"/>
      <c r="O918" s="1001"/>
      <c r="P918" s="1001"/>
      <c r="Q918" s="1001"/>
      <c r="R918" s="1001"/>
      <c r="S918" s="1004"/>
      <c r="T918" s="1004"/>
    </row>
    <row r="919" spans="2:20" s="1003" customFormat="1" ht="51" customHeight="1" x14ac:dyDescent="0.25">
      <c r="B919" s="998"/>
      <c r="C919" s="999" t="s">
        <v>3228</v>
      </c>
      <c r="D919" s="1025" t="s">
        <v>19</v>
      </c>
      <c r="E919" s="1001">
        <v>90</v>
      </c>
      <c r="F919" s="1001">
        <v>93</v>
      </c>
      <c r="G919" s="1001"/>
      <c r="H919" s="1001">
        <v>94</v>
      </c>
      <c r="I919" s="1001"/>
      <c r="J919" s="1001">
        <v>95</v>
      </c>
      <c r="K919" s="1001"/>
      <c r="L919" s="1001">
        <v>96</v>
      </c>
      <c r="M919" s="1001"/>
      <c r="N919" s="1001">
        <v>97</v>
      </c>
      <c r="O919" s="1001"/>
      <c r="P919" s="1001">
        <v>98</v>
      </c>
      <c r="Q919" s="1001"/>
      <c r="R919" s="1001">
        <v>97</v>
      </c>
      <c r="S919" s="1002"/>
      <c r="T919" s="1002"/>
    </row>
    <row r="920" spans="2:20" s="1003" customFormat="1" ht="63.75" x14ac:dyDescent="0.25">
      <c r="B920" s="1106" t="s">
        <v>3229</v>
      </c>
      <c r="C920" s="1000" t="s">
        <v>1488</v>
      </c>
      <c r="D920" s="1025" t="s">
        <v>19</v>
      </c>
      <c r="E920" s="1001">
        <v>100</v>
      </c>
      <c r="F920" s="1001">
        <v>22</v>
      </c>
      <c r="G920" s="1039">
        <f>SUM(G921:G933)</f>
        <v>101266</v>
      </c>
      <c r="H920" s="1001">
        <v>22</v>
      </c>
      <c r="I920" s="1001">
        <f>SUM(I921:I933)</f>
        <v>99500</v>
      </c>
      <c r="J920" s="1001">
        <v>22</v>
      </c>
      <c r="K920" s="1001">
        <f>SUM(K921:K933)</f>
        <v>117400</v>
      </c>
      <c r="L920" s="1001">
        <v>22</v>
      </c>
      <c r="M920" s="1001">
        <f>SUM(M921:M933)</f>
        <v>126950</v>
      </c>
      <c r="N920" s="1001">
        <v>22</v>
      </c>
      <c r="O920" s="1001">
        <f>SUM(O921:O933)</f>
        <v>132700</v>
      </c>
      <c r="P920" s="1001">
        <v>22</v>
      </c>
      <c r="Q920" s="1001">
        <f>SUM(Q921:Q933)</f>
        <v>141960</v>
      </c>
      <c r="R920" s="1001">
        <v>100</v>
      </c>
      <c r="S920" s="1004"/>
      <c r="T920" s="1004"/>
    </row>
    <row r="921" spans="2:20" s="1003" customFormat="1" ht="25.5" x14ac:dyDescent="0.25">
      <c r="B921" s="998" t="s">
        <v>124</v>
      </c>
      <c r="C921" s="1100" t="s">
        <v>3230</v>
      </c>
      <c r="D921" s="1025" t="s">
        <v>40</v>
      </c>
      <c r="E921" s="1001"/>
      <c r="F921" s="1001">
        <v>12</v>
      </c>
      <c r="G921" s="1001">
        <v>540</v>
      </c>
      <c r="H921" s="1001">
        <v>12</v>
      </c>
      <c r="I921" s="1001">
        <v>1200</v>
      </c>
      <c r="J921" s="1001">
        <v>12</v>
      </c>
      <c r="K921" s="1001">
        <v>1200</v>
      </c>
      <c r="L921" s="1001">
        <v>12</v>
      </c>
      <c r="M921" s="1001">
        <v>1250</v>
      </c>
      <c r="N921" s="1001">
        <v>12</v>
      </c>
      <c r="O921" s="1001">
        <v>1350</v>
      </c>
      <c r="P921" s="1001">
        <v>12</v>
      </c>
      <c r="Q921" s="1001">
        <v>1460</v>
      </c>
      <c r="R921" s="1001"/>
      <c r="S921" s="1004"/>
      <c r="T921" s="1004"/>
    </row>
    <row r="922" spans="2:20" s="1003" customFormat="1" ht="51" x14ac:dyDescent="0.25">
      <c r="B922" s="1005" t="s">
        <v>126</v>
      </c>
      <c r="C922" s="1100" t="s">
        <v>2518</v>
      </c>
      <c r="D922" s="1025" t="s">
        <v>40</v>
      </c>
      <c r="E922" s="1001"/>
      <c r="F922" s="1001">
        <v>12</v>
      </c>
      <c r="G922" s="1001">
        <v>17000</v>
      </c>
      <c r="H922" s="1001">
        <v>12</v>
      </c>
      <c r="I922" s="1001">
        <v>23100</v>
      </c>
      <c r="J922" s="1001">
        <v>12</v>
      </c>
      <c r="K922" s="1001">
        <v>24000</v>
      </c>
      <c r="L922" s="1001">
        <v>12</v>
      </c>
      <c r="M922" s="1001">
        <v>24000</v>
      </c>
      <c r="N922" s="1001">
        <v>12</v>
      </c>
      <c r="O922" s="1001">
        <v>24500</v>
      </c>
      <c r="P922" s="1001">
        <v>12</v>
      </c>
      <c r="Q922" s="1001">
        <v>25000</v>
      </c>
      <c r="R922" s="1001"/>
      <c r="S922" s="1004"/>
      <c r="T922" s="1004"/>
    </row>
    <row r="923" spans="2:20" s="1003" customFormat="1" ht="76.5" x14ac:dyDescent="0.25">
      <c r="B923" s="1005" t="s">
        <v>3231</v>
      </c>
      <c r="C923" s="1100" t="s">
        <v>2519</v>
      </c>
      <c r="D923" s="1025" t="s">
        <v>40</v>
      </c>
      <c r="E923" s="1001"/>
      <c r="F923" s="1001">
        <v>12</v>
      </c>
      <c r="G923" s="1001">
        <v>15000</v>
      </c>
      <c r="H923" s="1001">
        <v>12</v>
      </c>
      <c r="I923" s="1001">
        <v>13000</v>
      </c>
      <c r="J923" s="1001">
        <v>12</v>
      </c>
      <c r="K923" s="1001">
        <v>16000</v>
      </c>
      <c r="L923" s="1001">
        <v>12</v>
      </c>
      <c r="M923" s="1001">
        <v>18000</v>
      </c>
      <c r="N923" s="1001">
        <v>12</v>
      </c>
      <c r="O923" s="1001">
        <v>20000</v>
      </c>
      <c r="P923" s="1001">
        <v>12</v>
      </c>
      <c r="Q923" s="1001">
        <v>22000</v>
      </c>
      <c r="R923" s="1001"/>
      <c r="S923" s="1004"/>
      <c r="T923" s="1004"/>
    </row>
    <row r="924" spans="2:20" s="1003" customFormat="1" ht="38.25" x14ac:dyDescent="0.25">
      <c r="B924" s="1005" t="s">
        <v>45</v>
      </c>
      <c r="C924" s="1100" t="s">
        <v>2520</v>
      </c>
      <c r="D924" s="1025" t="s">
        <v>40</v>
      </c>
      <c r="E924" s="1001"/>
      <c r="F924" s="1001">
        <v>12</v>
      </c>
      <c r="G924" s="1001">
        <v>16000</v>
      </c>
      <c r="H924" s="1001">
        <v>12</v>
      </c>
      <c r="I924" s="1001">
        <v>15000</v>
      </c>
      <c r="J924" s="1001">
        <v>12</v>
      </c>
      <c r="K924" s="1001">
        <v>17000</v>
      </c>
      <c r="L924" s="1001">
        <v>12</v>
      </c>
      <c r="M924" s="1001">
        <v>19000</v>
      </c>
      <c r="N924" s="1001">
        <v>12</v>
      </c>
      <c r="O924" s="1001">
        <v>21000</v>
      </c>
      <c r="P924" s="1001">
        <v>12</v>
      </c>
      <c r="Q924" s="1001">
        <v>23000</v>
      </c>
      <c r="R924" s="1001"/>
      <c r="S924" s="1004"/>
      <c r="T924" s="1004"/>
    </row>
    <row r="925" spans="2:20" s="1003" customFormat="1" ht="38.25" x14ac:dyDescent="0.25">
      <c r="B925" s="1005" t="s">
        <v>47</v>
      </c>
      <c r="C925" s="1100" t="s">
        <v>2521</v>
      </c>
      <c r="D925" s="1025" t="s">
        <v>40</v>
      </c>
      <c r="E925" s="1001"/>
      <c r="F925" s="1001">
        <v>12</v>
      </c>
      <c r="G925" s="1001">
        <v>3000</v>
      </c>
      <c r="H925" s="1001">
        <v>12</v>
      </c>
      <c r="I925" s="1001">
        <v>3500</v>
      </c>
      <c r="J925" s="1001">
        <v>12</v>
      </c>
      <c r="K925" s="1001">
        <v>4000</v>
      </c>
      <c r="L925" s="1001">
        <v>12</v>
      </c>
      <c r="M925" s="1001">
        <v>4500</v>
      </c>
      <c r="N925" s="1001">
        <v>12</v>
      </c>
      <c r="O925" s="1001">
        <v>5000</v>
      </c>
      <c r="P925" s="1001">
        <v>12</v>
      </c>
      <c r="Q925" s="1001">
        <v>5500</v>
      </c>
      <c r="R925" s="1001"/>
      <c r="S925" s="1004"/>
      <c r="T925" s="1004"/>
    </row>
    <row r="926" spans="2:20" s="1003" customFormat="1" ht="51" x14ac:dyDescent="0.25">
      <c r="B926" s="1005" t="s">
        <v>923</v>
      </c>
      <c r="C926" s="1100" t="s">
        <v>2522</v>
      </c>
      <c r="D926" s="1025" t="s">
        <v>40</v>
      </c>
      <c r="E926" s="1001"/>
      <c r="F926" s="1001">
        <v>12</v>
      </c>
      <c r="G926" s="1001">
        <v>6000</v>
      </c>
      <c r="H926" s="1001">
        <v>12</v>
      </c>
      <c r="I926" s="1001">
        <v>4000</v>
      </c>
      <c r="J926" s="1001">
        <v>12</v>
      </c>
      <c r="K926" s="1001">
        <v>7000</v>
      </c>
      <c r="L926" s="1001">
        <v>12</v>
      </c>
      <c r="M926" s="1001">
        <v>7000</v>
      </c>
      <c r="N926" s="1001">
        <v>12</v>
      </c>
      <c r="O926" s="1001">
        <v>3250</v>
      </c>
      <c r="P926" s="1001">
        <v>12</v>
      </c>
      <c r="Q926" s="1001">
        <v>3500</v>
      </c>
      <c r="R926" s="1001"/>
      <c r="S926" s="1004"/>
      <c r="T926" s="1004"/>
    </row>
    <row r="927" spans="2:20" s="1003" customFormat="1" ht="38.25" x14ac:dyDescent="0.25">
      <c r="B927" s="1005" t="s">
        <v>50</v>
      </c>
      <c r="C927" s="1100" t="s">
        <v>2523</v>
      </c>
      <c r="D927" s="1025" t="s">
        <v>40</v>
      </c>
      <c r="E927" s="1001"/>
      <c r="F927" s="1001">
        <v>12</v>
      </c>
      <c r="G927" s="1001">
        <v>8000</v>
      </c>
      <c r="H927" s="1001">
        <v>12</v>
      </c>
      <c r="I927" s="1001">
        <v>6500</v>
      </c>
      <c r="J927" s="1001">
        <v>12</v>
      </c>
      <c r="K927" s="1001">
        <v>8000</v>
      </c>
      <c r="L927" s="1001">
        <v>12</v>
      </c>
      <c r="M927" s="1001">
        <v>8600</v>
      </c>
      <c r="N927" s="1001">
        <v>12</v>
      </c>
      <c r="O927" s="1001">
        <v>9500</v>
      </c>
      <c r="P927" s="1001">
        <v>12</v>
      </c>
      <c r="Q927" s="1001">
        <v>10300</v>
      </c>
      <c r="R927" s="1001"/>
      <c r="S927" s="1004"/>
      <c r="T927" s="1004"/>
    </row>
    <row r="928" spans="2:20" s="1003" customFormat="1" ht="51" x14ac:dyDescent="0.25">
      <c r="B928" s="1005" t="s">
        <v>52</v>
      </c>
      <c r="C928" s="1100" t="s">
        <v>2524</v>
      </c>
      <c r="D928" s="1025" t="s">
        <v>40</v>
      </c>
      <c r="E928" s="1001"/>
      <c r="F928" s="1001">
        <v>12</v>
      </c>
      <c r="G928" s="1001">
        <v>7226</v>
      </c>
      <c r="H928" s="1001">
        <v>12</v>
      </c>
      <c r="I928" s="1001">
        <v>5500</v>
      </c>
      <c r="J928" s="1001">
        <v>12</v>
      </c>
      <c r="K928" s="1001">
        <v>7500</v>
      </c>
      <c r="L928" s="1001">
        <v>12</v>
      </c>
      <c r="M928" s="1001">
        <v>8000</v>
      </c>
      <c r="N928" s="1001">
        <v>12</v>
      </c>
      <c r="O928" s="1001">
        <v>8500</v>
      </c>
      <c r="P928" s="1001">
        <v>12</v>
      </c>
      <c r="Q928" s="1001">
        <v>9000</v>
      </c>
      <c r="R928" s="1001"/>
      <c r="S928" s="1004"/>
      <c r="T928" s="1004"/>
    </row>
    <row r="929" spans="2:20" s="1003" customFormat="1" ht="76.5" x14ac:dyDescent="0.25">
      <c r="B929" s="1005" t="s">
        <v>782</v>
      </c>
      <c r="C929" s="1100" t="s">
        <v>2525</v>
      </c>
      <c r="D929" s="1025" t="s">
        <v>40</v>
      </c>
      <c r="E929" s="1001"/>
      <c r="F929" s="1001">
        <v>12</v>
      </c>
      <c r="G929" s="1001">
        <v>1500</v>
      </c>
      <c r="H929" s="1001">
        <v>12</v>
      </c>
      <c r="I929" s="1001">
        <v>3000</v>
      </c>
      <c r="J929" s="1001">
        <v>12</v>
      </c>
      <c r="K929" s="1001">
        <v>3500</v>
      </c>
      <c r="L929" s="1001">
        <v>12</v>
      </c>
      <c r="M929" s="1001">
        <v>4000</v>
      </c>
      <c r="N929" s="1001">
        <v>12</v>
      </c>
      <c r="O929" s="1001">
        <v>4600</v>
      </c>
      <c r="P929" s="1001">
        <v>12</v>
      </c>
      <c r="Q929" s="1001">
        <v>5200</v>
      </c>
      <c r="R929" s="1001"/>
      <c r="S929" s="1004"/>
      <c r="T929" s="1004"/>
    </row>
    <row r="930" spans="2:20" s="1003" customFormat="1" ht="63.75" x14ac:dyDescent="0.25">
      <c r="B930" s="1005" t="s">
        <v>3232</v>
      </c>
      <c r="C930" s="1100" t="s">
        <v>2526</v>
      </c>
      <c r="D930" s="1025" t="s">
        <v>40</v>
      </c>
      <c r="E930" s="1001"/>
      <c r="F930" s="1001">
        <v>12</v>
      </c>
      <c r="G930" s="1001">
        <v>1200</v>
      </c>
      <c r="H930" s="1001">
        <v>12</v>
      </c>
      <c r="I930" s="1001">
        <v>1500</v>
      </c>
      <c r="J930" s="1001">
        <v>12</v>
      </c>
      <c r="K930" s="1001">
        <v>1700</v>
      </c>
      <c r="L930" s="1001">
        <v>12</v>
      </c>
      <c r="M930" s="1001">
        <v>1800</v>
      </c>
      <c r="N930" s="1001">
        <v>12</v>
      </c>
      <c r="O930" s="1001">
        <v>2000</v>
      </c>
      <c r="P930" s="1001">
        <v>12</v>
      </c>
      <c r="Q930" s="1001">
        <v>2000</v>
      </c>
      <c r="R930" s="1001"/>
      <c r="S930" s="1004"/>
      <c r="T930" s="1004"/>
    </row>
    <row r="931" spans="2:20" s="1003" customFormat="1" ht="38.25" x14ac:dyDescent="0.25">
      <c r="B931" s="1005" t="s">
        <v>58</v>
      </c>
      <c r="C931" s="1100" t="s">
        <v>2527</v>
      </c>
      <c r="D931" s="1025" t="s">
        <v>40</v>
      </c>
      <c r="E931" s="1001"/>
      <c r="F931" s="1001">
        <v>12</v>
      </c>
      <c r="G931" s="1001">
        <v>6800</v>
      </c>
      <c r="H931" s="1001">
        <v>12</v>
      </c>
      <c r="I931" s="1001">
        <v>6200</v>
      </c>
      <c r="J931" s="1001">
        <v>12</v>
      </c>
      <c r="K931" s="1001">
        <v>7000</v>
      </c>
      <c r="L931" s="1001">
        <v>12</v>
      </c>
      <c r="M931" s="1001">
        <v>7800</v>
      </c>
      <c r="N931" s="1001">
        <v>12</v>
      </c>
      <c r="O931" s="1001">
        <v>8500</v>
      </c>
      <c r="P931" s="1001">
        <v>12</v>
      </c>
      <c r="Q931" s="1001">
        <v>9000</v>
      </c>
      <c r="R931" s="1001"/>
      <c r="S931" s="1004"/>
      <c r="T931" s="1004"/>
    </row>
    <row r="932" spans="2:20" s="1003" customFormat="1" ht="51" x14ac:dyDescent="0.25">
      <c r="B932" s="1005" t="s">
        <v>3233</v>
      </c>
      <c r="C932" s="1100" t="s">
        <v>2529</v>
      </c>
      <c r="D932" s="1025" t="s">
        <v>40</v>
      </c>
      <c r="E932" s="1001"/>
      <c r="F932" s="1001">
        <v>12</v>
      </c>
      <c r="G932" s="1001">
        <v>19000</v>
      </c>
      <c r="H932" s="1001">
        <v>12</v>
      </c>
      <c r="I932" s="1001">
        <v>17000</v>
      </c>
      <c r="J932" s="1001">
        <v>12</v>
      </c>
      <c r="K932" s="1001">
        <v>19000</v>
      </c>
      <c r="L932" s="1001">
        <v>12</v>
      </c>
      <c r="M932" s="1001">
        <v>21000</v>
      </c>
      <c r="N932" s="1001">
        <v>12</v>
      </c>
      <c r="O932" s="1001">
        <v>22000</v>
      </c>
      <c r="P932" s="1001">
        <v>12</v>
      </c>
      <c r="Q932" s="1001">
        <v>23000</v>
      </c>
      <c r="R932" s="1001"/>
      <c r="S932" s="1004"/>
      <c r="T932" s="1004"/>
    </row>
    <row r="933" spans="2:20" s="1003" customFormat="1" ht="51" x14ac:dyDescent="0.25">
      <c r="B933" s="1102" t="s">
        <v>137</v>
      </c>
      <c r="C933" s="1100" t="s">
        <v>2528</v>
      </c>
      <c r="D933" s="1025" t="s">
        <v>40</v>
      </c>
      <c r="E933" s="1001"/>
      <c r="F933" s="1001">
        <v>0</v>
      </c>
      <c r="G933" s="1001">
        <v>0</v>
      </c>
      <c r="H933" s="1001">
        <v>0</v>
      </c>
      <c r="I933" s="1001">
        <v>0</v>
      </c>
      <c r="J933" s="1001">
        <v>12</v>
      </c>
      <c r="K933" s="1001">
        <v>1500</v>
      </c>
      <c r="L933" s="1001">
        <v>12</v>
      </c>
      <c r="M933" s="1001">
        <v>2000</v>
      </c>
      <c r="N933" s="1001">
        <v>12</v>
      </c>
      <c r="O933" s="1001">
        <v>2500</v>
      </c>
      <c r="P933" s="1001">
        <v>12</v>
      </c>
      <c r="Q933" s="1001">
        <v>3000</v>
      </c>
      <c r="R933" s="1001"/>
      <c r="S933" s="1004"/>
      <c r="T933" s="1004"/>
    </row>
    <row r="934" spans="2:20" s="1003" customFormat="1" ht="38.25" customHeight="1" x14ac:dyDescent="0.25">
      <c r="B934" s="1061" t="s">
        <v>65</v>
      </c>
      <c r="C934" s="999" t="s">
        <v>3234</v>
      </c>
      <c r="D934" s="1015" t="s">
        <v>19</v>
      </c>
      <c r="E934" s="1001">
        <v>70</v>
      </c>
      <c r="F934" s="1001">
        <v>3</v>
      </c>
      <c r="G934" s="2112">
        <f>SUM(G936:G941)</f>
        <v>29000</v>
      </c>
      <c r="H934" s="1001">
        <v>2</v>
      </c>
      <c r="I934" s="2114">
        <f>SUM(I936:I941)</f>
        <v>31175</v>
      </c>
      <c r="J934" s="1001">
        <v>3</v>
      </c>
      <c r="K934" s="2114">
        <f>SUM(K936:K941)</f>
        <v>63000</v>
      </c>
      <c r="L934" s="1001">
        <v>2</v>
      </c>
      <c r="M934" s="2114">
        <f>SUM(M936:M941)</f>
        <v>68400</v>
      </c>
      <c r="N934" s="1001">
        <v>3</v>
      </c>
      <c r="O934" s="2114">
        <f>SUM(O936:O941)</f>
        <v>73000</v>
      </c>
      <c r="P934" s="1001">
        <v>2</v>
      </c>
      <c r="Q934" s="2114">
        <f>SUM(Q936:Q941)</f>
        <v>77000</v>
      </c>
      <c r="R934" s="1001">
        <f>E934+F934+H934+J934+L934+N934</f>
        <v>83</v>
      </c>
      <c r="S934" s="1004"/>
      <c r="T934" s="1004"/>
    </row>
    <row r="935" spans="2:20" s="1003" customFormat="1" ht="38.25" x14ac:dyDescent="0.25">
      <c r="B935" s="1067"/>
      <c r="C935" s="999" t="s">
        <v>3235</v>
      </c>
      <c r="D935" s="1015" t="s">
        <v>19</v>
      </c>
      <c r="E935" s="1001">
        <v>100</v>
      </c>
      <c r="F935" s="1001">
        <v>100</v>
      </c>
      <c r="G935" s="2112"/>
      <c r="H935" s="1001">
        <v>100</v>
      </c>
      <c r="I935" s="2114"/>
      <c r="J935" s="1001">
        <v>100</v>
      </c>
      <c r="K935" s="2114"/>
      <c r="L935" s="1001">
        <v>100</v>
      </c>
      <c r="M935" s="2114"/>
      <c r="N935" s="1001">
        <v>100</v>
      </c>
      <c r="O935" s="2114"/>
      <c r="P935" s="1001">
        <v>100</v>
      </c>
      <c r="Q935" s="2114"/>
      <c r="R935" s="1001">
        <v>100</v>
      </c>
      <c r="S935" s="1004"/>
      <c r="T935" s="1004"/>
    </row>
    <row r="936" spans="2:20" s="1003" customFormat="1" ht="38.25" x14ac:dyDescent="0.25">
      <c r="B936" s="1007" t="s">
        <v>144</v>
      </c>
      <c r="C936" s="999" t="s">
        <v>3408</v>
      </c>
      <c r="D936" s="1015" t="s">
        <v>69</v>
      </c>
      <c r="E936" s="1001"/>
      <c r="F936" s="1001">
        <v>2</v>
      </c>
      <c r="G936" s="1001"/>
      <c r="H936" s="1001">
        <v>2</v>
      </c>
      <c r="I936" s="1001"/>
      <c r="J936" s="1001">
        <v>2</v>
      </c>
      <c r="K936" s="1001"/>
      <c r="L936" s="1001">
        <v>2</v>
      </c>
      <c r="M936" s="1001"/>
      <c r="N936" s="1001">
        <v>2</v>
      </c>
      <c r="O936" s="1001"/>
      <c r="P936" s="1001">
        <v>2</v>
      </c>
      <c r="Q936" s="1001"/>
      <c r="R936" s="1001"/>
      <c r="S936" s="1004"/>
      <c r="T936" s="1004"/>
    </row>
    <row r="937" spans="2:20" s="1003" customFormat="1" ht="38.25" x14ac:dyDescent="0.25">
      <c r="B937" s="998" t="s">
        <v>3236</v>
      </c>
      <c r="C937" s="1000" t="s">
        <v>3537</v>
      </c>
      <c r="D937" s="1025" t="s">
        <v>75</v>
      </c>
      <c r="E937" s="1001"/>
      <c r="F937" s="1001">
        <v>32</v>
      </c>
      <c r="G937" s="1001">
        <v>8000</v>
      </c>
      <c r="H937" s="1001">
        <v>50</v>
      </c>
      <c r="I937" s="1001">
        <v>0</v>
      </c>
      <c r="J937" s="1001">
        <v>3</v>
      </c>
      <c r="K937" s="1001">
        <v>20000</v>
      </c>
      <c r="L937" s="1001">
        <v>4</v>
      </c>
      <c r="M937" s="1001">
        <v>21000</v>
      </c>
      <c r="N937" s="1001">
        <v>5</v>
      </c>
      <c r="O937" s="1001">
        <v>22000</v>
      </c>
      <c r="P937" s="1001">
        <v>30</v>
      </c>
      <c r="Q937" s="1001">
        <v>23000</v>
      </c>
      <c r="R937" s="1001"/>
      <c r="S937" s="1004"/>
      <c r="T937" s="1004"/>
    </row>
    <row r="938" spans="2:20" s="1003" customFormat="1" ht="51" x14ac:dyDescent="0.25">
      <c r="B938" s="998" t="s">
        <v>3238</v>
      </c>
      <c r="C938" s="1000" t="s">
        <v>3538</v>
      </c>
      <c r="D938" s="1025" t="s">
        <v>75</v>
      </c>
      <c r="E938" s="1001"/>
      <c r="F938" s="1001">
        <v>4</v>
      </c>
      <c r="G938" s="1001">
        <v>17000</v>
      </c>
      <c r="H938" s="1001">
        <v>3</v>
      </c>
      <c r="I938" s="1001">
        <v>31175</v>
      </c>
      <c r="J938" s="1001">
        <v>5</v>
      </c>
      <c r="K938" s="1001">
        <v>30000</v>
      </c>
      <c r="L938" s="1001">
        <v>3</v>
      </c>
      <c r="M938" s="1001">
        <v>33000</v>
      </c>
      <c r="N938" s="1001">
        <v>4</v>
      </c>
      <c r="O938" s="1001">
        <v>35000</v>
      </c>
      <c r="P938" s="1001">
        <v>4</v>
      </c>
      <c r="Q938" s="1001">
        <v>36000</v>
      </c>
      <c r="R938" s="1001"/>
      <c r="S938" s="1004"/>
      <c r="T938" s="1004"/>
    </row>
    <row r="939" spans="2:20" s="1003" customFormat="1" ht="38.25" x14ac:dyDescent="0.25">
      <c r="B939" s="1007" t="s">
        <v>3240</v>
      </c>
      <c r="C939" s="999" t="s">
        <v>3241</v>
      </c>
      <c r="D939" s="1015" t="s">
        <v>40</v>
      </c>
      <c r="E939" s="1001"/>
      <c r="F939" s="1001">
        <v>0</v>
      </c>
      <c r="G939" s="1001">
        <v>2000</v>
      </c>
      <c r="H939" s="1001">
        <v>0</v>
      </c>
      <c r="I939" s="1001">
        <v>0</v>
      </c>
      <c r="J939" s="1001">
        <v>12</v>
      </c>
      <c r="K939" s="1001">
        <v>4000</v>
      </c>
      <c r="L939" s="1001">
        <v>12</v>
      </c>
      <c r="M939" s="1001">
        <v>4500</v>
      </c>
      <c r="N939" s="1001">
        <v>12</v>
      </c>
      <c r="O939" s="1001">
        <v>5000</v>
      </c>
      <c r="P939" s="1001">
        <v>12</v>
      </c>
      <c r="Q939" s="1001">
        <v>6000</v>
      </c>
      <c r="R939" s="1001"/>
      <c r="S939" s="1004"/>
      <c r="T939" s="1004"/>
    </row>
    <row r="940" spans="2:20" s="1003" customFormat="1" ht="38.25" x14ac:dyDescent="0.25">
      <c r="B940" s="1007" t="s">
        <v>3242</v>
      </c>
      <c r="C940" s="999" t="s">
        <v>3539</v>
      </c>
      <c r="D940" s="1015" t="s">
        <v>40</v>
      </c>
      <c r="E940" s="1001"/>
      <c r="F940" s="1001">
        <v>12</v>
      </c>
      <c r="G940" s="1001">
        <v>2000</v>
      </c>
      <c r="H940" s="1001">
        <v>0</v>
      </c>
      <c r="I940" s="1001">
        <v>0</v>
      </c>
      <c r="J940" s="1001">
        <v>12</v>
      </c>
      <c r="K940" s="1001">
        <v>6000</v>
      </c>
      <c r="L940" s="1001">
        <v>12</v>
      </c>
      <c r="M940" s="1001">
        <v>6500</v>
      </c>
      <c r="N940" s="1001">
        <v>12</v>
      </c>
      <c r="O940" s="1001">
        <v>7000</v>
      </c>
      <c r="P940" s="1001">
        <v>12</v>
      </c>
      <c r="Q940" s="1001">
        <v>7500</v>
      </c>
      <c r="R940" s="1001"/>
      <c r="S940" s="1004"/>
      <c r="T940" s="1004"/>
    </row>
    <row r="941" spans="2:20" s="1003" customFormat="1" ht="38.25" x14ac:dyDescent="0.25">
      <c r="B941" s="1007" t="s">
        <v>3243</v>
      </c>
      <c r="C941" s="999" t="s">
        <v>3244</v>
      </c>
      <c r="D941" s="1015" t="s">
        <v>40</v>
      </c>
      <c r="E941" s="1001"/>
      <c r="F941" s="1001">
        <v>0</v>
      </c>
      <c r="G941" s="1001">
        <v>0</v>
      </c>
      <c r="H941" s="1001">
        <v>0</v>
      </c>
      <c r="I941" s="1001">
        <v>0</v>
      </c>
      <c r="J941" s="1001">
        <v>12</v>
      </c>
      <c r="K941" s="1001">
        <v>3000</v>
      </c>
      <c r="L941" s="1001">
        <v>12</v>
      </c>
      <c r="M941" s="1001">
        <v>3400</v>
      </c>
      <c r="N941" s="1001"/>
      <c r="O941" s="1001">
        <v>4000</v>
      </c>
      <c r="P941" s="1001">
        <v>12</v>
      </c>
      <c r="Q941" s="1001">
        <v>4500</v>
      </c>
      <c r="R941" s="1001"/>
      <c r="S941" s="1004"/>
      <c r="T941" s="1004"/>
    </row>
    <row r="942" spans="2:20" s="1003" customFormat="1" ht="63.75" x14ac:dyDescent="0.25">
      <c r="B942" s="1106" t="s">
        <v>3245</v>
      </c>
      <c r="C942" s="1000" t="s">
        <v>3246</v>
      </c>
      <c r="D942" s="1025" t="s">
        <v>79</v>
      </c>
      <c r="E942" s="1001">
        <v>10</v>
      </c>
      <c r="F942" s="1001">
        <f>F943</f>
        <v>4</v>
      </c>
      <c r="G942" s="1039">
        <f>G943</f>
        <v>4000</v>
      </c>
      <c r="H942" s="1001">
        <f t="shared" ref="H942:Q942" si="86">H943</f>
        <v>0</v>
      </c>
      <c r="I942" s="1001">
        <f t="shared" si="86"/>
        <v>0</v>
      </c>
      <c r="J942" s="1001">
        <f t="shared" si="86"/>
        <v>4</v>
      </c>
      <c r="K942" s="1001">
        <f t="shared" si="86"/>
        <v>5000</v>
      </c>
      <c r="L942" s="1001">
        <f t="shared" si="86"/>
        <v>4</v>
      </c>
      <c r="M942" s="1001">
        <f t="shared" si="86"/>
        <v>5500</v>
      </c>
      <c r="N942" s="1001">
        <f t="shared" si="86"/>
        <v>4</v>
      </c>
      <c r="O942" s="1001">
        <f t="shared" si="86"/>
        <v>6000</v>
      </c>
      <c r="P942" s="1001">
        <f t="shared" si="86"/>
        <v>4</v>
      </c>
      <c r="Q942" s="1001">
        <f t="shared" si="86"/>
        <v>6500</v>
      </c>
      <c r="R942" s="1001">
        <f>E942+F942+H942+J942+L942+N942</f>
        <v>26</v>
      </c>
      <c r="S942" s="1004"/>
      <c r="T942" s="1004"/>
    </row>
    <row r="943" spans="2:20" s="1003" customFormat="1" ht="102" x14ac:dyDescent="0.25">
      <c r="B943" s="998" t="s">
        <v>80</v>
      </c>
      <c r="C943" s="1000" t="s">
        <v>3540</v>
      </c>
      <c r="D943" s="1025" t="s">
        <v>79</v>
      </c>
      <c r="E943" s="1001"/>
      <c r="F943" s="1001">
        <v>4</v>
      </c>
      <c r="G943" s="1001">
        <v>4000</v>
      </c>
      <c r="H943" s="1001">
        <v>0</v>
      </c>
      <c r="I943" s="1001">
        <v>0</v>
      </c>
      <c r="J943" s="1001">
        <v>4</v>
      </c>
      <c r="K943" s="1001">
        <v>5000</v>
      </c>
      <c r="L943" s="1001">
        <v>4</v>
      </c>
      <c r="M943" s="1001">
        <v>5500</v>
      </c>
      <c r="N943" s="1001">
        <v>4</v>
      </c>
      <c r="O943" s="1001">
        <v>6000</v>
      </c>
      <c r="P943" s="1001">
        <v>4</v>
      </c>
      <c r="Q943" s="1001">
        <v>6500</v>
      </c>
      <c r="R943" s="1001"/>
      <c r="S943" s="1004"/>
      <c r="T943" s="1004"/>
    </row>
    <row r="944" spans="2:20" s="1003" customFormat="1" ht="48" x14ac:dyDescent="0.25">
      <c r="B944" s="1106" t="s">
        <v>3248</v>
      </c>
      <c r="C944" s="1000" t="s">
        <v>3249</v>
      </c>
      <c r="D944" s="1025" t="s">
        <v>79</v>
      </c>
      <c r="E944" s="1001">
        <v>5</v>
      </c>
      <c r="F944" s="1001">
        <v>22</v>
      </c>
      <c r="G944" s="1039">
        <f>G945</f>
        <v>6000</v>
      </c>
      <c r="H944" s="1001">
        <v>22</v>
      </c>
      <c r="I944" s="1001">
        <f t="shared" ref="I944:Q944" si="87">I945</f>
        <v>6000</v>
      </c>
      <c r="J944" s="1001">
        <v>22</v>
      </c>
      <c r="K944" s="1001">
        <f t="shared" si="87"/>
        <v>7000</v>
      </c>
      <c r="L944" s="1001">
        <v>22</v>
      </c>
      <c r="M944" s="1001">
        <f t="shared" si="87"/>
        <v>8000</v>
      </c>
      <c r="N944" s="1001">
        <v>22</v>
      </c>
      <c r="O944" s="1001">
        <f t="shared" si="87"/>
        <v>8600</v>
      </c>
      <c r="P944" s="1001">
        <v>22</v>
      </c>
      <c r="Q944" s="1001">
        <f t="shared" si="87"/>
        <v>9000</v>
      </c>
      <c r="R944" s="1001">
        <v>100</v>
      </c>
      <c r="S944" s="1004"/>
      <c r="T944" s="1004"/>
    </row>
    <row r="945" spans="2:20" s="1003" customFormat="1" ht="63.75" x14ac:dyDescent="0.25">
      <c r="B945" s="998" t="s">
        <v>1712</v>
      </c>
      <c r="C945" s="1000" t="s">
        <v>3250</v>
      </c>
      <c r="D945" s="1025"/>
      <c r="E945" s="1001"/>
      <c r="F945" s="1001">
        <v>22</v>
      </c>
      <c r="G945" s="1001">
        <v>6000</v>
      </c>
      <c r="H945" s="1001">
        <v>22</v>
      </c>
      <c r="I945" s="1001">
        <v>6000</v>
      </c>
      <c r="J945" s="1001">
        <v>22</v>
      </c>
      <c r="K945" s="1001">
        <v>7000</v>
      </c>
      <c r="L945" s="1001">
        <v>22</v>
      </c>
      <c r="M945" s="1001">
        <v>8000</v>
      </c>
      <c r="N945" s="1001">
        <v>22</v>
      </c>
      <c r="O945" s="1001">
        <v>8600</v>
      </c>
      <c r="P945" s="1001">
        <v>22</v>
      </c>
      <c r="Q945" s="1001">
        <v>9000</v>
      </c>
      <c r="R945" s="1001"/>
      <c r="S945" s="1004"/>
      <c r="T945" s="1004"/>
    </row>
    <row r="946" spans="2:20" s="1003" customFormat="1" ht="51" customHeight="1" x14ac:dyDescent="0.25">
      <c r="B946" s="1065" t="s">
        <v>3251</v>
      </c>
      <c r="C946" s="1000" t="s">
        <v>3252</v>
      </c>
      <c r="D946" s="1025" t="s">
        <v>79</v>
      </c>
      <c r="E946" s="1001">
        <v>5</v>
      </c>
      <c r="F946" s="1001">
        <v>1</v>
      </c>
      <c r="G946" s="2112">
        <f>SUM(G948:G949)</f>
        <v>17800</v>
      </c>
      <c r="H946" s="1001">
        <v>1</v>
      </c>
      <c r="I946" s="2114">
        <f>SUM(I948:I949)</f>
        <v>25000</v>
      </c>
      <c r="J946" s="1001">
        <v>1</v>
      </c>
      <c r="K946" s="2114">
        <f>SUM(K948:K949)</f>
        <v>26000</v>
      </c>
      <c r="L946" s="1001">
        <v>1</v>
      </c>
      <c r="M946" s="2114">
        <f>SUM(M948:M949)</f>
        <v>27000</v>
      </c>
      <c r="N946" s="1001">
        <v>1</v>
      </c>
      <c r="O946" s="2114">
        <f>SUM(O948:O949)</f>
        <v>28000</v>
      </c>
      <c r="P946" s="1001">
        <v>1</v>
      </c>
      <c r="Q946" s="2114">
        <f>SUM(Q948:Q949)</f>
        <v>29000</v>
      </c>
      <c r="R946" s="1001">
        <f>E946+F946+H946+J946+L946+N946</f>
        <v>10</v>
      </c>
      <c r="S946" s="1004"/>
      <c r="T946" s="1004"/>
    </row>
    <row r="947" spans="2:20" s="1003" customFormat="1" ht="38.25" x14ac:dyDescent="0.25">
      <c r="B947" s="1066"/>
      <c r="C947" s="1000" t="s">
        <v>3253</v>
      </c>
      <c r="D947" s="1025" t="s">
        <v>79</v>
      </c>
      <c r="E947" s="1001">
        <v>5</v>
      </c>
      <c r="F947" s="1001">
        <v>1</v>
      </c>
      <c r="G947" s="2112"/>
      <c r="H947" s="1001">
        <v>1</v>
      </c>
      <c r="I947" s="2114"/>
      <c r="J947" s="1001">
        <v>1</v>
      </c>
      <c r="K947" s="2114"/>
      <c r="L947" s="1001">
        <v>1</v>
      </c>
      <c r="M947" s="2114"/>
      <c r="N947" s="1001">
        <v>1</v>
      </c>
      <c r="O947" s="2114"/>
      <c r="P947" s="1001">
        <v>1</v>
      </c>
      <c r="Q947" s="2114"/>
      <c r="R947" s="1001">
        <f>E947+F947+H947+J947+L947+N947</f>
        <v>10</v>
      </c>
      <c r="S947" s="1004"/>
      <c r="T947" s="1004"/>
    </row>
    <row r="948" spans="2:20" s="1003" customFormat="1" ht="38.25" x14ac:dyDescent="0.25">
      <c r="B948" s="998" t="s">
        <v>3254</v>
      </c>
      <c r="C948" s="1000" t="s">
        <v>3255</v>
      </c>
      <c r="D948" s="1025" t="s">
        <v>103</v>
      </c>
      <c r="E948" s="1001"/>
      <c r="F948" s="1001">
        <v>2</v>
      </c>
      <c r="G948" s="1001">
        <v>17800</v>
      </c>
      <c r="H948" s="1001">
        <v>2</v>
      </c>
      <c r="I948" s="1001">
        <v>25000</v>
      </c>
      <c r="J948" s="1001">
        <v>2</v>
      </c>
      <c r="K948" s="1001">
        <v>26000</v>
      </c>
      <c r="L948" s="1001">
        <v>2</v>
      </c>
      <c r="M948" s="1001">
        <v>27000</v>
      </c>
      <c r="N948" s="1001">
        <v>2</v>
      </c>
      <c r="O948" s="1001">
        <v>28000</v>
      </c>
      <c r="P948" s="1001">
        <v>2</v>
      </c>
      <c r="Q948" s="1001">
        <v>29000</v>
      </c>
      <c r="R948" s="1001"/>
      <c r="S948" s="1004"/>
      <c r="T948" s="1004"/>
    </row>
    <row r="949" spans="2:20" s="1003" customFormat="1" ht="51" x14ac:dyDescent="0.25">
      <c r="B949" s="998" t="s">
        <v>3256</v>
      </c>
      <c r="C949" s="1000" t="s">
        <v>3257</v>
      </c>
      <c r="D949" s="1025" t="s">
        <v>103</v>
      </c>
      <c r="E949" s="1001"/>
      <c r="F949" s="1001">
        <v>0</v>
      </c>
      <c r="G949" s="1001">
        <v>0</v>
      </c>
      <c r="H949" s="1001">
        <v>0</v>
      </c>
      <c r="I949" s="1001">
        <v>0</v>
      </c>
      <c r="J949" s="1001">
        <v>0</v>
      </c>
      <c r="K949" s="1001">
        <v>0</v>
      </c>
      <c r="L949" s="1001">
        <v>0</v>
      </c>
      <c r="M949" s="1001">
        <v>0</v>
      </c>
      <c r="N949" s="1001">
        <v>0</v>
      </c>
      <c r="O949" s="1001">
        <v>0</v>
      </c>
      <c r="P949" s="1001">
        <v>0</v>
      </c>
      <c r="Q949" s="1001">
        <v>0</v>
      </c>
      <c r="R949" s="1001"/>
      <c r="S949" s="1004"/>
      <c r="T949" s="1004"/>
    </row>
    <row r="950" spans="2:20" s="1003" customFormat="1" ht="51" x14ac:dyDescent="0.25">
      <c r="B950" s="998" t="s">
        <v>3420</v>
      </c>
      <c r="C950" s="1000" t="s">
        <v>3386</v>
      </c>
      <c r="D950" s="1025" t="s">
        <v>19</v>
      </c>
      <c r="E950" s="1001">
        <v>100</v>
      </c>
      <c r="F950" s="1001">
        <v>100</v>
      </c>
      <c r="G950" s="1039">
        <f>G951</f>
        <v>53000</v>
      </c>
      <c r="H950" s="1001">
        <v>100</v>
      </c>
      <c r="I950" s="1001">
        <f>I951</f>
        <v>51000</v>
      </c>
      <c r="J950" s="1001">
        <v>100</v>
      </c>
      <c r="K950" s="1001">
        <f>K951</f>
        <v>55000</v>
      </c>
      <c r="L950" s="1001">
        <v>100</v>
      </c>
      <c r="M950" s="1001">
        <f>M951</f>
        <v>60000</v>
      </c>
      <c r="N950" s="1001">
        <v>100</v>
      </c>
      <c r="O950" s="1001">
        <f>O951</f>
        <v>65000</v>
      </c>
      <c r="P950" s="1001">
        <v>100</v>
      </c>
      <c r="Q950" s="1001">
        <f>Q951</f>
        <v>65000</v>
      </c>
      <c r="R950" s="1001">
        <v>100</v>
      </c>
      <c r="S950" s="1004"/>
      <c r="T950" s="1004"/>
    </row>
    <row r="951" spans="2:20" s="1003" customFormat="1" ht="25.5" x14ac:dyDescent="0.25">
      <c r="B951" s="998" t="s">
        <v>3421</v>
      </c>
      <c r="C951" s="1000" t="s">
        <v>3422</v>
      </c>
      <c r="D951" s="1025" t="s">
        <v>40</v>
      </c>
      <c r="E951" s="1001"/>
      <c r="F951" s="1001">
        <v>12</v>
      </c>
      <c r="G951" s="1001">
        <v>53000</v>
      </c>
      <c r="H951" s="1001">
        <v>12</v>
      </c>
      <c r="I951" s="1001">
        <v>51000</v>
      </c>
      <c r="J951" s="1001">
        <v>12</v>
      </c>
      <c r="K951" s="1001">
        <v>55000</v>
      </c>
      <c r="L951" s="1001">
        <v>12</v>
      </c>
      <c r="M951" s="1001">
        <v>60000</v>
      </c>
      <c r="N951" s="1001">
        <v>12</v>
      </c>
      <c r="O951" s="1001">
        <v>65000</v>
      </c>
      <c r="P951" s="1001">
        <v>12</v>
      </c>
      <c r="Q951" s="1001">
        <v>65000</v>
      </c>
      <c r="R951" s="1001"/>
      <c r="S951" s="1004"/>
      <c r="T951" s="1004"/>
    </row>
    <row r="952" spans="2:20" s="1003" customFormat="1" ht="63.75" customHeight="1" x14ac:dyDescent="0.25">
      <c r="B952" s="1106" t="s">
        <v>1743</v>
      </c>
      <c r="C952" s="1000" t="s">
        <v>3265</v>
      </c>
      <c r="D952" s="1025" t="s">
        <v>19</v>
      </c>
      <c r="E952" s="1001">
        <v>50</v>
      </c>
      <c r="F952" s="1001">
        <v>60</v>
      </c>
      <c r="G952" s="1039">
        <f>G953+G954+G955</f>
        <v>49000</v>
      </c>
      <c r="H952" s="1001">
        <v>70</v>
      </c>
      <c r="I952" s="1001">
        <f>I953+I954+I955</f>
        <v>36000</v>
      </c>
      <c r="J952" s="1001">
        <v>80</v>
      </c>
      <c r="K952" s="1001">
        <f>K953+K954+K955</f>
        <v>45500</v>
      </c>
      <c r="L952" s="1001">
        <v>90</v>
      </c>
      <c r="M952" s="1001">
        <f>M953+M954+M955</f>
        <v>50000</v>
      </c>
      <c r="N952" s="1001">
        <v>100</v>
      </c>
      <c r="O952" s="1001">
        <f>O953+O954+O955</f>
        <v>54000</v>
      </c>
      <c r="P952" s="1001">
        <v>100</v>
      </c>
      <c r="Q952" s="1001">
        <f>Q953+Q954+Q955</f>
        <v>58000</v>
      </c>
      <c r="R952" s="1001">
        <v>100</v>
      </c>
      <c r="S952" s="1004"/>
      <c r="T952" s="1004"/>
    </row>
    <row r="953" spans="2:20" s="1003" customFormat="1" ht="25.5" x14ac:dyDescent="0.25">
      <c r="B953" s="998" t="s">
        <v>3266</v>
      </c>
      <c r="C953" s="1000" t="s">
        <v>3267</v>
      </c>
      <c r="D953" s="1025" t="s">
        <v>103</v>
      </c>
      <c r="E953" s="1001"/>
      <c r="F953" s="1001">
        <v>22</v>
      </c>
      <c r="G953" s="1001">
        <v>32000</v>
      </c>
      <c r="H953" s="1001">
        <v>22</v>
      </c>
      <c r="I953" s="1001">
        <v>27000</v>
      </c>
      <c r="J953" s="1001">
        <v>22</v>
      </c>
      <c r="K953" s="1001">
        <v>36000</v>
      </c>
      <c r="L953" s="1001">
        <v>22</v>
      </c>
      <c r="M953" s="1001">
        <v>40000</v>
      </c>
      <c r="N953" s="1001">
        <v>22</v>
      </c>
      <c r="O953" s="1001">
        <v>43000</v>
      </c>
      <c r="P953" s="1001">
        <v>22</v>
      </c>
      <c r="Q953" s="1001">
        <v>46000</v>
      </c>
      <c r="R953" s="1001"/>
      <c r="S953" s="1004"/>
      <c r="T953" s="1004"/>
    </row>
    <row r="954" spans="2:20" s="1003" customFormat="1" ht="12.75" customHeight="1" x14ac:dyDescent="0.25">
      <c r="B954" s="998" t="s">
        <v>3541</v>
      </c>
      <c r="C954" s="1000" t="s">
        <v>3542</v>
      </c>
      <c r="D954" s="1025" t="s">
        <v>103</v>
      </c>
      <c r="E954" s="1001"/>
      <c r="F954" s="1001">
        <v>22</v>
      </c>
      <c r="G954" s="1001">
        <v>8000</v>
      </c>
      <c r="H954" s="1001">
        <v>0</v>
      </c>
      <c r="I954" s="1001">
        <v>0</v>
      </c>
      <c r="J954" s="1001">
        <v>0</v>
      </c>
      <c r="K954" s="1001">
        <v>0</v>
      </c>
      <c r="L954" s="1001">
        <v>0</v>
      </c>
      <c r="M954" s="1001">
        <v>0</v>
      </c>
      <c r="N954" s="1001">
        <v>0</v>
      </c>
      <c r="O954" s="1001">
        <v>0</v>
      </c>
      <c r="P954" s="1001">
        <v>0</v>
      </c>
      <c r="Q954" s="1001">
        <v>0</v>
      </c>
      <c r="R954" s="1001"/>
      <c r="S954" s="1004"/>
      <c r="T954" s="1004"/>
    </row>
    <row r="955" spans="2:20" s="1003" customFormat="1" ht="76.5" x14ac:dyDescent="0.25">
      <c r="B955" s="998" t="s">
        <v>3390</v>
      </c>
      <c r="C955" s="1000" t="s">
        <v>3273</v>
      </c>
      <c r="D955" s="1025" t="s">
        <v>103</v>
      </c>
      <c r="E955" s="1001"/>
      <c r="F955" s="1001">
        <v>20</v>
      </c>
      <c r="G955" s="1001">
        <v>9000</v>
      </c>
      <c r="H955" s="1001">
        <v>20</v>
      </c>
      <c r="I955" s="1001">
        <v>9000</v>
      </c>
      <c r="J955" s="1001">
        <v>20</v>
      </c>
      <c r="K955" s="1001">
        <v>9500</v>
      </c>
      <c r="L955" s="1001">
        <v>20</v>
      </c>
      <c r="M955" s="1001">
        <v>10000</v>
      </c>
      <c r="N955" s="1001">
        <v>20</v>
      </c>
      <c r="O955" s="1001">
        <v>11000</v>
      </c>
      <c r="P955" s="1001">
        <v>20</v>
      </c>
      <c r="Q955" s="1001">
        <v>12000</v>
      </c>
      <c r="R955" s="1001"/>
      <c r="S955" s="1004"/>
      <c r="T955" s="1004"/>
    </row>
    <row r="956" spans="2:20" s="1003" customFormat="1" ht="63.75" customHeight="1" x14ac:dyDescent="0.25">
      <c r="B956" s="1063" t="s">
        <v>3425</v>
      </c>
      <c r="C956" s="1000" t="s">
        <v>3274</v>
      </c>
      <c r="D956" s="1025" t="s">
        <v>79</v>
      </c>
      <c r="E956" s="1001">
        <v>1</v>
      </c>
      <c r="F956" s="1001">
        <v>1</v>
      </c>
      <c r="G956" s="1039">
        <f>G957</f>
        <v>6000</v>
      </c>
      <c r="H956" s="1001">
        <v>1</v>
      </c>
      <c r="I956" s="1001">
        <f>I957</f>
        <v>6000</v>
      </c>
      <c r="J956" s="1001">
        <v>1</v>
      </c>
      <c r="K956" s="1001">
        <f>K957</f>
        <v>6600</v>
      </c>
      <c r="L956" s="1001">
        <v>1</v>
      </c>
      <c r="M956" s="1001">
        <f>M957</f>
        <v>7000</v>
      </c>
      <c r="N956" s="1001">
        <v>1</v>
      </c>
      <c r="O956" s="1001">
        <f>O957</f>
        <v>7500</v>
      </c>
      <c r="P956" s="1001">
        <v>1</v>
      </c>
      <c r="Q956" s="1001">
        <f>Q957</f>
        <v>8000</v>
      </c>
      <c r="R956" s="1001">
        <f>E956+F956+H956+J956+L956+N956</f>
        <v>6</v>
      </c>
      <c r="S956" s="1004"/>
      <c r="T956" s="1004"/>
    </row>
    <row r="957" spans="2:20" s="1003" customFormat="1" ht="25.5" x14ac:dyDescent="0.25">
      <c r="B957" s="1008" t="s">
        <v>3277</v>
      </c>
      <c r="C957" s="1000" t="s">
        <v>3278</v>
      </c>
      <c r="D957" s="1025" t="s">
        <v>103</v>
      </c>
      <c r="E957" s="1001"/>
      <c r="F957" s="1001">
        <v>22</v>
      </c>
      <c r="G957" s="1001">
        <v>6000</v>
      </c>
      <c r="H957" s="1001">
        <v>22</v>
      </c>
      <c r="I957" s="1001">
        <v>6000</v>
      </c>
      <c r="J957" s="1001">
        <v>22</v>
      </c>
      <c r="K957" s="1001">
        <v>6600</v>
      </c>
      <c r="L957" s="1001">
        <v>22</v>
      </c>
      <c r="M957" s="1001">
        <v>7000</v>
      </c>
      <c r="N957" s="1001">
        <v>22</v>
      </c>
      <c r="O957" s="1001">
        <v>7500</v>
      </c>
      <c r="P957" s="1001">
        <v>22</v>
      </c>
      <c r="Q957" s="1001">
        <v>8000</v>
      </c>
      <c r="R957" s="1001"/>
      <c r="S957" s="1004"/>
      <c r="T957" s="1004"/>
    </row>
    <row r="958" spans="2:20" s="1003" customFormat="1" ht="63.75" customHeight="1" x14ac:dyDescent="0.25">
      <c r="B958" s="1063" t="s">
        <v>3280</v>
      </c>
      <c r="C958" s="1000" t="s">
        <v>3279</v>
      </c>
      <c r="D958" s="1025" t="s">
        <v>327</v>
      </c>
      <c r="E958" s="1001">
        <v>4</v>
      </c>
      <c r="F958" s="1001">
        <v>4</v>
      </c>
      <c r="G958" s="1039">
        <f>SUM(G959:G959)</f>
        <v>5000</v>
      </c>
      <c r="H958" s="1001">
        <v>4</v>
      </c>
      <c r="I958" s="1001">
        <f>SUM(I959:I959)</f>
        <v>5000</v>
      </c>
      <c r="J958" s="1001">
        <v>4</v>
      </c>
      <c r="K958" s="1001">
        <f>SUM(K959:K959)</f>
        <v>6000</v>
      </c>
      <c r="L958" s="1001">
        <v>4</v>
      </c>
      <c r="M958" s="1001">
        <f>SUM(M959:M959)</f>
        <v>5500</v>
      </c>
      <c r="N958" s="1001">
        <v>4</v>
      </c>
      <c r="O958" s="1001">
        <f>SUM(O959:O959)</f>
        <v>6000</v>
      </c>
      <c r="P958" s="1001">
        <v>4</v>
      </c>
      <c r="Q958" s="1001">
        <f>SUM(Q959:Q959)</f>
        <v>6500</v>
      </c>
      <c r="R958" s="1001">
        <f>N958</f>
        <v>4</v>
      </c>
      <c r="S958" s="1004"/>
      <c r="T958" s="1004"/>
    </row>
    <row r="959" spans="2:20" s="1003" customFormat="1" ht="38.25" x14ac:dyDescent="0.25">
      <c r="B959" s="1008" t="s">
        <v>3282</v>
      </c>
      <c r="C959" s="1000" t="s">
        <v>3283</v>
      </c>
      <c r="D959" s="1025" t="s">
        <v>327</v>
      </c>
      <c r="E959" s="1001"/>
      <c r="F959" s="1001">
        <v>4</v>
      </c>
      <c r="G959" s="1001">
        <v>5000</v>
      </c>
      <c r="H959" s="1001">
        <v>22</v>
      </c>
      <c r="I959" s="1001">
        <v>5000</v>
      </c>
      <c r="J959" s="1001">
        <v>4</v>
      </c>
      <c r="K959" s="1001">
        <v>6000</v>
      </c>
      <c r="L959" s="1001">
        <v>4</v>
      </c>
      <c r="M959" s="1001">
        <v>5500</v>
      </c>
      <c r="N959" s="1001">
        <v>4</v>
      </c>
      <c r="O959" s="1001">
        <v>6000</v>
      </c>
      <c r="P959" s="1001">
        <v>4</v>
      </c>
      <c r="Q959" s="1001">
        <v>6500</v>
      </c>
      <c r="R959" s="1001"/>
      <c r="S959" s="1004"/>
      <c r="T959" s="1004"/>
    </row>
    <row r="960" spans="2:20" s="1003" customFormat="1" ht="60" x14ac:dyDescent="0.25">
      <c r="B960" s="1106" t="s">
        <v>3284</v>
      </c>
      <c r="C960" s="1009" t="s">
        <v>3285</v>
      </c>
      <c r="D960" s="1025" t="s">
        <v>364</v>
      </c>
      <c r="E960" s="1001">
        <v>100</v>
      </c>
      <c r="F960" s="1001">
        <v>90</v>
      </c>
      <c r="G960" s="1039">
        <f>G961</f>
        <v>5000</v>
      </c>
      <c r="H960" s="1001">
        <v>22</v>
      </c>
      <c r="I960" s="1001">
        <f>I961</f>
        <v>0</v>
      </c>
      <c r="J960" s="1001">
        <v>22</v>
      </c>
      <c r="K960" s="1001">
        <f>K961</f>
        <v>6000</v>
      </c>
      <c r="L960" s="1001">
        <v>22</v>
      </c>
      <c r="M960" s="1001">
        <f>M961</f>
        <v>6500</v>
      </c>
      <c r="N960" s="1001">
        <v>22</v>
      </c>
      <c r="O960" s="1001">
        <f>O961</f>
        <v>7000</v>
      </c>
      <c r="P960" s="1001">
        <f>P961</f>
        <v>12</v>
      </c>
      <c r="Q960" s="1001">
        <f>Q961</f>
        <v>8000</v>
      </c>
      <c r="R960" s="1001">
        <f>N960</f>
        <v>22</v>
      </c>
      <c r="S960" s="1004"/>
      <c r="T960" s="1004"/>
    </row>
    <row r="961" spans="2:20" s="1003" customFormat="1" ht="63.75" x14ac:dyDescent="0.25">
      <c r="B961" s="998" t="s">
        <v>3286</v>
      </c>
      <c r="C961" s="1009" t="s">
        <v>3287</v>
      </c>
      <c r="D961" s="1025" t="s">
        <v>100</v>
      </c>
      <c r="E961" s="1001"/>
      <c r="F961" s="1001">
        <v>0</v>
      </c>
      <c r="G961" s="1001">
        <v>5000</v>
      </c>
      <c r="H961" s="1001">
        <v>0</v>
      </c>
      <c r="I961" s="1001">
        <v>0</v>
      </c>
      <c r="J961" s="1001">
        <v>20</v>
      </c>
      <c r="K961" s="1001">
        <v>6000</v>
      </c>
      <c r="L961" s="1001">
        <v>20</v>
      </c>
      <c r="M961" s="1001">
        <v>6500</v>
      </c>
      <c r="N961" s="1001">
        <v>20</v>
      </c>
      <c r="O961" s="1001">
        <v>7000</v>
      </c>
      <c r="P961" s="1001">
        <v>12</v>
      </c>
      <c r="Q961" s="1001">
        <v>8000</v>
      </c>
      <c r="R961" s="1001"/>
      <c r="S961" s="1004"/>
      <c r="T961" s="1004"/>
    </row>
    <row r="962" spans="2:20" s="1003" customFormat="1" ht="48" x14ac:dyDescent="0.25">
      <c r="B962" s="1106" t="s">
        <v>3289</v>
      </c>
      <c r="C962" s="1009" t="s">
        <v>3288</v>
      </c>
      <c r="D962" s="1025" t="s">
        <v>100</v>
      </c>
      <c r="E962" s="1001">
        <v>30</v>
      </c>
      <c r="F962" s="1001">
        <f>F963</f>
        <v>30</v>
      </c>
      <c r="G962" s="1039">
        <f t="shared" ref="G962:Q962" si="88">G963</f>
        <v>11000</v>
      </c>
      <c r="H962" s="1001">
        <f t="shared" si="88"/>
        <v>30</v>
      </c>
      <c r="I962" s="1001">
        <f t="shared" si="88"/>
        <v>11000</v>
      </c>
      <c r="J962" s="1001">
        <f t="shared" si="88"/>
        <v>30</v>
      </c>
      <c r="K962" s="1001">
        <f t="shared" si="88"/>
        <v>12000</v>
      </c>
      <c r="L962" s="1001">
        <f t="shared" si="88"/>
        <v>30</v>
      </c>
      <c r="M962" s="1001">
        <f t="shared" si="88"/>
        <v>13000</v>
      </c>
      <c r="N962" s="1001">
        <f t="shared" si="88"/>
        <v>30</v>
      </c>
      <c r="O962" s="1001">
        <f t="shared" si="88"/>
        <v>14000</v>
      </c>
      <c r="P962" s="1001">
        <f t="shared" si="88"/>
        <v>30</v>
      </c>
      <c r="Q962" s="1001">
        <f t="shared" si="88"/>
        <v>15000</v>
      </c>
      <c r="R962" s="1001">
        <v>100</v>
      </c>
      <c r="S962" s="1004"/>
      <c r="T962" s="1004"/>
    </row>
    <row r="963" spans="2:20" s="1003" customFormat="1" ht="76.5" x14ac:dyDescent="0.25">
      <c r="B963" s="998" t="s">
        <v>894</v>
      </c>
      <c r="C963" s="1009" t="s">
        <v>3290</v>
      </c>
      <c r="D963" s="1025" t="s">
        <v>100</v>
      </c>
      <c r="E963" s="1001"/>
      <c r="F963" s="1001">
        <v>30</v>
      </c>
      <c r="G963" s="1001">
        <v>11000</v>
      </c>
      <c r="H963" s="1001">
        <v>30</v>
      </c>
      <c r="I963" s="1001">
        <v>11000</v>
      </c>
      <c r="J963" s="1001">
        <v>30</v>
      </c>
      <c r="K963" s="1001">
        <v>12000</v>
      </c>
      <c r="L963" s="1001">
        <v>30</v>
      </c>
      <c r="M963" s="1001">
        <v>13000</v>
      </c>
      <c r="N963" s="1001">
        <v>30</v>
      </c>
      <c r="O963" s="1001">
        <v>14000</v>
      </c>
      <c r="P963" s="1001">
        <v>30</v>
      </c>
      <c r="Q963" s="1001">
        <v>15000</v>
      </c>
      <c r="R963" s="1001"/>
      <c r="S963" s="1004"/>
      <c r="T963" s="1004"/>
    </row>
    <row r="964" spans="2:20" s="1003" customFormat="1" ht="60" x14ac:dyDescent="0.25">
      <c r="B964" s="1063" t="s">
        <v>3292</v>
      </c>
      <c r="C964" s="1000" t="s">
        <v>3291</v>
      </c>
      <c r="D964" s="1025" t="s">
        <v>19</v>
      </c>
      <c r="E964" s="1001">
        <v>75</v>
      </c>
      <c r="F964" s="1001">
        <v>77</v>
      </c>
      <c r="G964" s="1039">
        <f>G965</f>
        <v>1000</v>
      </c>
      <c r="H964" s="1001">
        <v>0</v>
      </c>
      <c r="I964" s="1001">
        <f>I965</f>
        <v>0</v>
      </c>
      <c r="J964" s="1001">
        <v>0</v>
      </c>
      <c r="K964" s="1001">
        <f>K965</f>
        <v>0</v>
      </c>
      <c r="L964" s="1001">
        <v>80</v>
      </c>
      <c r="M964" s="1001">
        <f>M965</f>
        <v>0</v>
      </c>
      <c r="N964" s="1001">
        <f>N965</f>
        <v>20</v>
      </c>
      <c r="O964" s="1001">
        <f>O965</f>
        <v>30000</v>
      </c>
      <c r="P964" s="1001">
        <v>0</v>
      </c>
      <c r="Q964" s="1001">
        <v>0</v>
      </c>
      <c r="R964" s="1001">
        <f>L964</f>
        <v>80</v>
      </c>
      <c r="S964" s="1004"/>
      <c r="T964" s="1004"/>
    </row>
    <row r="965" spans="2:20" s="1003" customFormat="1" ht="38.25" x14ac:dyDescent="0.25">
      <c r="B965" s="1008" t="s">
        <v>3293</v>
      </c>
      <c r="C965" s="1000" t="s">
        <v>3294</v>
      </c>
      <c r="D965" s="1025" t="s">
        <v>103</v>
      </c>
      <c r="E965" s="1001"/>
      <c r="F965" s="1001">
        <v>1</v>
      </c>
      <c r="G965" s="1001">
        <v>1000</v>
      </c>
      <c r="H965" s="1001">
        <v>0</v>
      </c>
      <c r="I965" s="1001">
        <v>0</v>
      </c>
      <c r="J965" s="1001">
        <v>0</v>
      </c>
      <c r="K965" s="1001">
        <v>0</v>
      </c>
      <c r="L965" s="1001">
        <v>0</v>
      </c>
      <c r="M965" s="1001">
        <v>0</v>
      </c>
      <c r="N965" s="1001">
        <v>20</v>
      </c>
      <c r="O965" s="1001">
        <v>30000</v>
      </c>
      <c r="P965" s="1001"/>
      <c r="Q965" s="1001">
        <v>0</v>
      </c>
      <c r="R965" s="1001"/>
      <c r="S965" s="1004"/>
      <c r="T965" s="1004"/>
    </row>
    <row r="966" spans="2:20" s="1003" customFormat="1" ht="60" x14ac:dyDescent="0.25">
      <c r="B966" s="1063" t="s">
        <v>3296</v>
      </c>
      <c r="C966" s="1000" t="s">
        <v>3295</v>
      </c>
      <c r="D966" s="1025" t="s">
        <v>327</v>
      </c>
      <c r="E966" s="1001">
        <v>22</v>
      </c>
      <c r="F966" s="1001">
        <v>22</v>
      </c>
      <c r="G966" s="1001">
        <f>G967</f>
        <v>4000</v>
      </c>
      <c r="H966" s="1001">
        <v>0</v>
      </c>
      <c r="I966" s="1001">
        <f>I967</f>
        <v>5000</v>
      </c>
      <c r="J966" s="1001">
        <v>22</v>
      </c>
      <c r="K966" s="1001">
        <f>K967</f>
        <v>6000</v>
      </c>
      <c r="L966" s="1001">
        <v>22</v>
      </c>
      <c r="M966" s="1001">
        <f>M967</f>
        <v>6500</v>
      </c>
      <c r="N966" s="1001">
        <v>22</v>
      </c>
      <c r="O966" s="1001">
        <f>O967</f>
        <v>7500</v>
      </c>
      <c r="P966" s="1001">
        <v>22</v>
      </c>
      <c r="Q966" s="1001">
        <f>Q967</f>
        <v>8400</v>
      </c>
      <c r="R966" s="1001">
        <f>N966</f>
        <v>22</v>
      </c>
      <c r="S966" s="1004"/>
      <c r="T966" s="1004"/>
    </row>
    <row r="967" spans="2:20" s="1003" customFormat="1" ht="13.5" customHeight="1" x14ac:dyDescent="0.25">
      <c r="B967" s="1008" t="s">
        <v>383</v>
      </c>
      <c r="C967" s="1000" t="s">
        <v>3297</v>
      </c>
      <c r="D967" s="1025"/>
      <c r="E967" s="1029" t="s">
        <v>103</v>
      </c>
      <c r="F967" s="1001">
        <v>22</v>
      </c>
      <c r="G967" s="1001">
        <v>4000</v>
      </c>
      <c r="H967" s="1001">
        <v>0</v>
      </c>
      <c r="I967" s="1001">
        <v>5000</v>
      </c>
      <c r="J967" s="1001">
        <v>22</v>
      </c>
      <c r="K967" s="1001">
        <v>6000</v>
      </c>
      <c r="L967" s="1001">
        <v>20</v>
      </c>
      <c r="M967" s="1001">
        <v>6500</v>
      </c>
      <c r="N967" s="1001">
        <v>20</v>
      </c>
      <c r="O967" s="1001">
        <v>7500</v>
      </c>
      <c r="P967" s="1001">
        <v>20</v>
      </c>
      <c r="Q967" s="1001">
        <v>8400</v>
      </c>
      <c r="R967" s="1001"/>
      <c r="S967" s="1004"/>
      <c r="T967" s="1004"/>
    </row>
    <row r="968" spans="2:20" s="1032" customFormat="1" x14ac:dyDescent="0.25">
      <c r="B968" s="1027" t="s">
        <v>2651</v>
      </c>
      <c r="C968" s="1033"/>
      <c r="D968" s="1034"/>
      <c r="E968" s="1033"/>
      <c r="F968" s="1033"/>
      <c r="G968" s="1042">
        <f>G966+G964+G962+G960+G958+G956+G952+G950+G946+G944+G942+G934+G920</f>
        <v>292066</v>
      </c>
      <c r="H968" s="1033"/>
      <c r="I968" s="1042">
        <f>I966+I964+I962+I960+I958+I956+I952+I950+I946+I944+I942+I934+I920</f>
        <v>275675</v>
      </c>
      <c r="J968" s="1033"/>
      <c r="K968" s="1042">
        <f>K966+K964+K962+K960+K958+K956+K952+K950+K946+K944+K942+K934+K920</f>
        <v>355500</v>
      </c>
      <c r="L968" s="1033"/>
      <c r="M968" s="1042">
        <f>M966+M964+M962+M960+M958+M956+M952+M950+M946+M944+M942+M934+M920</f>
        <v>384350</v>
      </c>
      <c r="N968" s="1033"/>
      <c r="O968" s="1042">
        <f>O966+O964+O962+O960+O958+O956+O952+O950+O946+O944+O942+O934+O920</f>
        <v>439300</v>
      </c>
      <c r="P968" s="1033"/>
      <c r="Q968" s="1042">
        <f>Q966+Q964+Q962+Q960+Q958+Q956+Q952+Q950+Q946+Q944+Q942+Q934+Q920</f>
        <v>432360</v>
      </c>
      <c r="R968" s="1033"/>
      <c r="S968" s="1036"/>
      <c r="T968" s="1036"/>
    </row>
    <row r="969" spans="2:20" s="1003" customFormat="1" x14ac:dyDescent="0.25">
      <c r="B969" s="1005"/>
      <c r="C969" s="1100"/>
      <c r="D969" s="1000"/>
      <c r="E969" s="1001"/>
      <c r="F969" s="1001"/>
      <c r="G969" s="1001"/>
      <c r="H969" s="1001"/>
      <c r="I969" s="1001"/>
      <c r="J969" s="1001"/>
      <c r="K969" s="1001"/>
      <c r="L969" s="1001"/>
      <c r="M969" s="1001"/>
      <c r="N969" s="1001"/>
      <c r="O969" s="1001"/>
      <c r="P969" s="1001"/>
      <c r="Q969" s="1001"/>
      <c r="R969" s="1001"/>
      <c r="S969" s="1004"/>
      <c r="T969" s="1004"/>
    </row>
    <row r="970" spans="2:20" s="1003" customFormat="1" x14ac:dyDescent="0.25">
      <c r="B970" s="1167" t="s">
        <v>3543</v>
      </c>
      <c r="C970" s="1100"/>
      <c r="D970" s="1000"/>
      <c r="E970" s="1001"/>
      <c r="F970" s="1001"/>
      <c r="G970" s="1001"/>
      <c r="H970" s="1001"/>
      <c r="I970" s="1001"/>
      <c r="J970" s="1001"/>
      <c r="K970" s="1001"/>
      <c r="L970" s="1001"/>
      <c r="M970" s="1001"/>
      <c r="N970" s="1001"/>
      <c r="O970" s="1001"/>
      <c r="P970" s="1001"/>
      <c r="Q970" s="1001"/>
      <c r="R970" s="1001"/>
      <c r="S970" s="1004"/>
      <c r="T970" s="1004"/>
    </row>
    <row r="971" spans="2:20" s="1003" customFormat="1" ht="63.75" customHeight="1" x14ac:dyDescent="0.25">
      <c r="B971" s="998"/>
      <c r="C971" s="999" t="s">
        <v>3228</v>
      </c>
      <c r="D971" s="1025" t="s">
        <v>19</v>
      </c>
      <c r="E971" s="1001">
        <v>90</v>
      </c>
      <c r="F971" s="1001">
        <v>93</v>
      </c>
      <c r="G971" s="1001">
        <f>G972+G986+G994+G996+G1000+G1002+G1004+G1007+G1009+G1012+G1014+G1016+G1018</f>
        <v>294340</v>
      </c>
      <c r="H971" s="1001">
        <v>94</v>
      </c>
      <c r="I971" s="1001">
        <f>I972+I986+I994+I996+I1000+I1002+I1004+I1007+I1009+I1012+I1014+I1016+I1018</f>
        <v>278346</v>
      </c>
      <c r="J971" s="1001">
        <v>95</v>
      </c>
      <c r="K971" s="1001">
        <f>K972+K986+K994+K996+K1000+K1002+K1004+K1007+K1009+K1012+K1014+K1016+K1018</f>
        <v>324900</v>
      </c>
      <c r="L971" s="1001">
        <v>96</v>
      </c>
      <c r="M971" s="1001">
        <f>M972+M986+M994+M996+M1000+M1002+M1004+M1007+M1009+M1012+M1014+M1016+M1018</f>
        <v>329900</v>
      </c>
      <c r="N971" s="1001">
        <v>97</v>
      </c>
      <c r="O971" s="1001">
        <f>O972+O986+O994+O996+O1000+O1002+O1004+O1007+O1009+O1012+O1014+O1016+O1018</f>
        <v>333950</v>
      </c>
      <c r="P971" s="1001">
        <v>98</v>
      </c>
      <c r="Q971" s="1001">
        <f>Q972+Q986+Q994+Q996+Q1000+Q1002+Q1004+Q1007+Q1009+Q1012+Q1014+Q1016+Q1018</f>
        <v>311950</v>
      </c>
      <c r="R971" s="1001">
        <v>97</v>
      </c>
      <c r="S971" s="1002"/>
      <c r="T971" s="1002"/>
    </row>
    <row r="972" spans="2:20" s="1003" customFormat="1" ht="63.75" x14ac:dyDescent="0.25">
      <c r="B972" s="1106" t="s">
        <v>3229</v>
      </c>
      <c r="C972" s="1000" t="s">
        <v>1488</v>
      </c>
      <c r="D972" s="1025" t="s">
        <v>19</v>
      </c>
      <c r="E972" s="1001">
        <v>100</v>
      </c>
      <c r="F972" s="1001">
        <v>20</v>
      </c>
      <c r="G972" s="1001">
        <f>SUM(G973:G985)</f>
        <v>92990</v>
      </c>
      <c r="H972" s="1001">
        <v>20</v>
      </c>
      <c r="I972" s="1001">
        <f>SUM(I973:I985)</f>
        <v>99896</v>
      </c>
      <c r="J972" s="1001">
        <v>20</v>
      </c>
      <c r="K972" s="1001">
        <f>SUM(K973:K985)</f>
        <v>107600</v>
      </c>
      <c r="L972" s="1001">
        <v>20</v>
      </c>
      <c r="M972" s="1001">
        <f>SUM(M973:M985)</f>
        <v>107600</v>
      </c>
      <c r="N972" s="1001">
        <v>20</v>
      </c>
      <c r="O972" s="1001">
        <f>SUM(O973:O985)</f>
        <v>114950</v>
      </c>
      <c r="P972" s="1001">
        <v>20</v>
      </c>
      <c r="Q972" s="1001">
        <f>SUM(Q973:Q985)</f>
        <v>115450</v>
      </c>
      <c r="R972" s="1001">
        <v>100</v>
      </c>
      <c r="S972" s="1004"/>
      <c r="T972" s="1004"/>
    </row>
    <row r="973" spans="2:20" s="1003" customFormat="1" ht="25.5" x14ac:dyDescent="0.25">
      <c r="B973" s="998" t="s">
        <v>124</v>
      </c>
      <c r="C973" s="1100" t="s">
        <v>3230</v>
      </c>
      <c r="D973" s="1025" t="s">
        <v>40</v>
      </c>
      <c r="E973" s="1001"/>
      <c r="F973" s="1001">
        <v>12</v>
      </c>
      <c r="G973" s="1001">
        <v>600</v>
      </c>
      <c r="H973" s="1001">
        <v>12</v>
      </c>
      <c r="I973" s="1001">
        <v>600</v>
      </c>
      <c r="J973" s="1001">
        <v>12</v>
      </c>
      <c r="K973" s="1001">
        <v>600</v>
      </c>
      <c r="L973" s="1001">
        <v>12</v>
      </c>
      <c r="M973" s="1001">
        <v>600</v>
      </c>
      <c r="N973" s="1001">
        <v>12</v>
      </c>
      <c r="O973" s="1001">
        <v>600</v>
      </c>
      <c r="P973" s="1001">
        <v>12</v>
      </c>
      <c r="Q973" s="1001">
        <v>600</v>
      </c>
      <c r="R973" s="1001"/>
      <c r="S973" s="1004"/>
      <c r="T973" s="1004"/>
    </row>
    <row r="974" spans="2:20" s="1003" customFormat="1" ht="51" x14ac:dyDescent="0.25">
      <c r="B974" s="1005" t="s">
        <v>126</v>
      </c>
      <c r="C974" s="1100" t="s">
        <v>2518</v>
      </c>
      <c r="D974" s="1025" t="s">
        <v>40</v>
      </c>
      <c r="E974" s="1001"/>
      <c r="F974" s="1001">
        <v>12</v>
      </c>
      <c r="G974" s="1001">
        <v>10200</v>
      </c>
      <c r="H974" s="1001">
        <v>12</v>
      </c>
      <c r="I974" s="1001">
        <v>11400</v>
      </c>
      <c r="J974" s="1001">
        <v>12</v>
      </c>
      <c r="K974" s="1001">
        <v>12000</v>
      </c>
      <c r="L974" s="1001">
        <v>12</v>
      </c>
      <c r="M974" s="1001">
        <v>12000</v>
      </c>
      <c r="N974" s="1001">
        <v>12</v>
      </c>
      <c r="O974" s="1001">
        <v>12500</v>
      </c>
      <c r="P974" s="1001">
        <v>12</v>
      </c>
      <c r="Q974" s="1001">
        <v>12500</v>
      </c>
      <c r="R974" s="1001"/>
      <c r="S974" s="1004"/>
      <c r="T974" s="1004"/>
    </row>
    <row r="975" spans="2:20" s="1003" customFormat="1" ht="76.5" x14ac:dyDescent="0.25">
      <c r="B975" s="1005" t="s">
        <v>3231</v>
      </c>
      <c r="C975" s="1100" t="s">
        <v>2519</v>
      </c>
      <c r="D975" s="1025" t="s">
        <v>40</v>
      </c>
      <c r="E975" s="1001"/>
      <c r="F975" s="1001">
        <v>12</v>
      </c>
      <c r="G975" s="1001">
        <v>22000</v>
      </c>
      <c r="H975" s="1001">
        <v>12</v>
      </c>
      <c r="I975" s="1001">
        <v>22896</v>
      </c>
      <c r="J975" s="1001">
        <v>12</v>
      </c>
      <c r="K975" s="1001">
        <v>25000</v>
      </c>
      <c r="L975" s="1001">
        <v>12</v>
      </c>
      <c r="M975" s="1001">
        <v>25000</v>
      </c>
      <c r="N975" s="1001">
        <v>12</v>
      </c>
      <c r="O975" s="1001">
        <v>25500</v>
      </c>
      <c r="P975" s="1001">
        <v>12</v>
      </c>
      <c r="Q975" s="1001">
        <v>26000</v>
      </c>
      <c r="R975" s="1001"/>
      <c r="S975" s="1004"/>
      <c r="T975" s="1004"/>
    </row>
    <row r="976" spans="2:20" s="1003" customFormat="1" ht="38.25" x14ac:dyDescent="0.25">
      <c r="B976" s="1005" t="s">
        <v>45</v>
      </c>
      <c r="C976" s="1100" t="s">
        <v>2520</v>
      </c>
      <c r="D976" s="1025" t="s">
        <v>40</v>
      </c>
      <c r="E976" s="1001"/>
      <c r="F976" s="1001">
        <v>12</v>
      </c>
      <c r="G976" s="1001">
        <v>16520</v>
      </c>
      <c r="H976" s="1001">
        <v>12</v>
      </c>
      <c r="I976" s="1001">
        <v>17000</v>
      </c>
      <c r="J976" s="1001">
        <v>12</v>
      </c>
      <c r="K976" s="1001">
        <v>18000</v>
      </c>
      <c r="L976" s="1001">
        <v>12</v>
      </c>
      <c r="M976" s="1001">
        <v>18000</v>
      </c>
      <c r="N976" s="1001">
        <v>12</v>
      </c>
      <c r="O976" s="1001">
        <v>19000</v>
      </c>
      <c r="P976" s="1001">
        <v>12</v>
      </c>
      <c r="Q976" s="1001">
        <v>19000</v>
      </c>
      <c r="R976" s="1001"/>
      <c r="S976" s="1004"/>
      <c r="T976" s="1004"/>
    </row>
    <row r="977" spans="2:20" s="1003" customFormat="1" ht="38.25" x14ac:dyDescent="0.25">
      <c r="B977" s="1005" t="s">
        <v>47</v>
      </c>
      <c r="C977" s="1100" t="s">
        <v>2521</v>
      </c>
      <c r="D977" s="1025" t="s">
        <v>40</v>
      </c>
      <c r="E977" s="1001"/>
      <c r="F977" s="1001">
        <v>12</v>
      </c>
      <c r="G977" s="1001">
        <v>4000</v>
      </c>
      <c r="H977" s="1001">
        <v>12</v>
      </c>
      <c r="I977" s="1001">
        <v>4000</v>
      </c>
      <c r="J977" s="1001">
        <v>12</v>
      </c>
      <c r="K977" s="1001">
        <v>5000</v>
      </c>
      <c r="L977" s="1001">
        <v>12</v>
      </c>
      <c r="M977" s="1001">
        <v>5000</v>
      </c>
      <c r="N977" s="1001">
        <v>12</v>
      </c>
      <c r="O977" s="1001">
        <v>6000</v>
      </c>
      <c r="P977" s="1001">
        <v>12</v>
      </c>
      <c r="Q977" s="1001">
        <v>6000</v>
      </c>
      <c r="R977" s="1001"/>
      <c r="S977" s="1004"/>
      <c r="T977" s="1004"/>
    </row>
    <row r="978" spans="2:20" s="1003" customFormat="1" ht="51" x14ac:dyDescent="0.25">
      <c r="B978" s="1005" t="s">
        <v>923</v>
      </c>
      <c r="C978" s="1100" t="s">
        <v>2522</v>
      </c>
      <c r="D978" s="1025" t="s">
        <v>40</v>
      </c>
      <c r="E978" s="1001"/>
      <c r="F978" s="1001">
        <v>12</v>
      </c>
      <c r="G978" s="1001">
        <v>3000</v>
      </c>
      <c r="H978" s="1001">
        <v>12</v>
      </c>
      <c r="I978" s="1001">
        <v>3500</v>
      </c>
      <c r="J978" s="1001">
        <v>12</v>
      </c>
      <c r="K978" s="1001">
        <v>4000</v>
      </c>
      <c r="L978" s="1001">
        <v>12</v>
      </c>
      <c r="M978" s="1001">
        <v>4000</v>
      </c>
      <c r="N978" s="1001">
        <v>12</v>
      </c>
      <c r="O978" s="1001">
        <v>4500</v>
      </c>
      <c r="P978" s="1001">
        <v>12</v>
      </c>
      <c r="Q978" s="1001">
        <v>4500</v>
      </c>
      <c r="R978" s="1001"/>
      <c r="S978" s="1004"/>
      <c r="T978" s="1004"/>
    </row>
    <row r="979" spans="2:20" s="1003" customFormat="1" ht="38.25" x14ac:dyDescent="0.25">
      <c r="B979" s="1005" t="s">
        <v>50</v>
      </c>
      <c r="C979" s="1100" t="s">
        <v>2523</v>
      </c>
      <c r="D979" s="1025" t="s">
        <v>40</v>
      </c>
      <c r="E979" s="1001"/>
      <c r="F979" s="1001">
        <v>12</v>
      </c>
      <c r="G979" s="1001">
        <v>6000</v>
      </c>
      <c r="H979" s="1001">
        <v>12</v>
      </c>
      <c r="I979" s="1001">
        <v>6000</v>
      </c>
      <c r="J979" s="1001">
        <v>12</v>
      </c>
      <c r="K979" s="1001">
        <v>6500</v>
      </c>
      <c r="L979" s="1001">
        <v>12</v>
      </c>
      <c r="M979" s="1001">
        <v>6500</v>
      </c>
      <c r="N979" s="1001">
        <v>12</v>
      </c>
      <c r="O979" s="1001">
        <v>7000</v>
      </c>
      <c r="P979" s="1001">
        <v>12</v>
      </c>
      <c r="Q979" s="1001">
        <v>7000</v>
      </c>
      <c r="R979" s="1001"/>
      <c r="S979" s="1004"/>
      <c r="T979" s="1004"/>
    </row>
    <row r="980" spans="2:20" s="1003" customFormat="1" ht="51" x14ac:dyDescent="0.25">
      <c r="B980" s="1005" t="s">
        <v>52</v>
      </c>
      <c r="C980" s="1100" t="s">
        <v>2524</v>
      </c>
      <c r="D980" s="1025" t="s">
        <v>40</v>
      </c>
      <c r="E980" s="1001"/>
      <c r="F980" s="1001">
        <v>12</v>
      </c>
      <c r="G980" s="1001">
        <v>3000</v>
      </c>
      <c r="H980" s="1001">
        <v>12</v>
      </c>
      <c r="I980" s="1001">
        <v>3000</v>
      </c>
      <c r="J980" s="1001">
        <v>12</v>
      </c>
      <c r="K980" s="1001">
        <v>3500</v>
      </c>
      <c r="L980" s="1001">
        <v>12</v>
      </c>
      <c r="M980" s="1001">
        <v>3500</v>
      </c>
      <c r="N980" s="1001">
        <v>12</v>
      </c>
      <c r="O980" s="1001">
        <v>4000</v>
      </c>
      <c r="P980" s="1001">
        <v>12</v>
      </c>
      <c r="Q980" s="1001">
        <v>4000</v>
      </c>
      <c r="R980" s="1001"/>
      <c r="S980" s="1004"/>
      <c r="T980" s="1004"/>
    </row>
    <row r="981" spans="2:20" s="1003" customFormat="1" ht="76.5" x14ac:dyDescent="0.25">
      <c r="B981" s="1005" t="s">
        <v>782</v>
      </c>
      <c r="C981" s="1100" t="s">
        <v>2525</v>
      </c>
      <c r="D981" s="1025" t="s">
        <v>40</v>
      </c>
      <c r="E981" s="1001"/>
      <c r="F981" s="1001">
        <v>12</v>
      </c>
      <c r="G981" s="1001">
        <v>2000</v>
      </c>
      <c r="H981" s="1001">
        <v>12</v>
      </c>
      <c r="I981" s="1001">
        <v>2500</v>
      </c>
      <c r="J981" s="1001">
        <v>12</v>
      </c>
      <c r="K981" s="1001">
        <v>2500</v>
      </c>
      <c r="L981" s="1001">
        <v>12</v>
      </c>
      <c r="M981" s="1001">
        <v>2500</v>
      </c>
      <c r="N981" s="1001">
        <v>12</v>
      </c>
      <c r="O981" s="1001">
        <v>2750</v>
      </c>
      <c r="P981" s="1001">
        <v>12</v>
      </c>
      <c r="Q981" s="1001">
        <v>2750</v>
      </c>
      <c r="R981" s="1001"/>
      <c r="S981" s="1004"/>
      <c r="T981" s="1004"/>
    </row>
    <row r="982" spans="2:20" s="1003" customFormat="1" ht="63.75" x14ac:dyDescent="0.25">
      <c r="B982" s="1005" t="s">
        <v>3232</v>
      </c>
      <c r="C982" s="1100" t="s">
        <v>2526</v>
      </c>
      <c r="D982" s="1025" t="s">
        <v>40</v>
      </c>
      <c r="E982" s="1001"/>
      <c r="F982" s="1001">
        <v>12</v>
      </c>
      <c r="G982" s="1001">
        <v>1670</v>
      </c>
      <c r="H982" s="1001">
        <v>12</v>
      </c>
      <c r="I982" s="1001">
        <v>1800</v>
      </c>
      <c r="J982" s="1001">
        <v>12</v>
      </c>
      <c r="K982" s="1001">
        <v>1800</v>
      </c>
      <c r="L982" s="1001">
        <v>12</v>
      </c>
      <c r="M982" s="1001">
        <v>1800</v>
      </c>
      <c r="N982" s="1001">
        <v>12</v>
      </c>
      <c r="O982" s="1001">
        <v>1900</v>
      </c>
      <c r="P982" s="1001">
        <v>12</v>
      </c>
      <c r="Q982" s="1001">
        <v>1900</v>
      </c>
      <c r="R982" s="1001"/>
      <c r="S982" s="1004"/>
      <c r="T982" s="1004"/>
    </row>
    <row r="983" spans="2:20" s="1003" customFormat="1" ht="38.25" x14ac:dyDescent="0.25">
      <c r="B983" s="1005" t="s">
        <v>58</v>
      </c>
      <c r="C983" s="1100" t="s">
        <v>2527</v>
      </c>
      <c r="D983" s="1025" t="s">
        <v>40</v>
      </c>
      <c r="E983" s="1001"/>
      <c r="F983" s="1001">
        <v>12</v>
      </c>
      <c r="G983" s="1001">
        <v>9000</v>
      </c>
      <c r="H983" s="1001">
        <v>12</v>
      </c>
      <c r="I983" s="1001">
        <v>9600</v>
      </c>
      <c r="J983" s="1001">
        <v>12</v>
      </c>
      <c r="K983" s="1001">
        <v>10500</v>
      </c>
      <c r="L983" s="1001">
        <v>12</v>
      </c>
      <c r="M983" s="1001">
        <v>10500</v>
      </c>
      <c r="N983" s="1001">
        <v>12</v>
      </c>
      <c r="O983" s="1001">
        <v>12000</v>
      </c>
      <c r="P983" s="1001">
        <v>12</v>
      </c>
      <c r="Q983" s="1001">
        <v>12000</v>
      </c>
      <c r="R983" s="1001"/>
      <c r="S983" s="1004"/>
      <c r="T983" s="1004"/>
    </row>
    <row r="984" spans="2:20" s="1003" customFormat="1" ht="51" x14ac:dyDescent="0.25">
      <c r="B984" s="1005" t="s">
        <v>3233</v>
      </c>
      <c r="C984" s="1100" t="s">
        <v>2529</v>
      </c>
      <c r="D984" s="1025" t="s">
        <v>40</v>
      </c>
      <c r="E984" s="1001"/>
      <c r="F984" s="1001">
        <v>12</v>
      </c>
      <c r="G984" s="1001">
        <v>15000</v>
      </c>
      <c r="H984" s="1001">
        <v>12</v>
      </c>
      <c r="I984" s="1001">
        <v>16000</v>
      </c>
      <c r="J984" s="1001">
        <v>12</v>
      </c>
      <c r="K984" s="1001">
        <v>17000</v>
      </c>
      <c r="L984" s="1001">
        <v>12</v>
      </c>
      <c r="M984" s="1001">
        <v>17000</v>
      </c>
      <c r="N984" s="1001">
        <v>12</v>
      </c>
      <c r="O984" s="1001">
        <v>18000</v>
      </c>
      <c r="P984" s="1001">
        <v>12</v>
      </c>
      <c r="Q984" s="1001">
        <v>18000</v>
      </c>
      <c r="R984" s="1001"/>
      <c r="S984" s="1004"/>
      <c r="T984" s="1004"/>
    </row>
    <row r="985" spans="2:20" s="1003" customFormat="1" ht="51" x14ac:dyDescent="0.25">
      <c r="B985" s="1102" t="s">
        <v>137</v>
      </c>
      <c r="C985" s="1100" t="s">
        <v>2528</v>
      </c>
      <c r="D985" s="1025" t="s">
        <v>40</v>
      </c>
      <c r="E985" s="1001"/>
      <c r="F985" s="1001">
        <v>12</v>
      </c>
      <c r="G985" s="1001">
        <v>0</v>
      </c>
      <c r="H985" s="1001">
        <v>12</v>
      </c>
      <c r="I985" s="1001">
        <v>1600</v>
      </c>
      <c r="J985" s="1001">
        <v>12</v>
      </c>
      <c r="K985" s="1001">
        <v>1200</v>
      </c>
      <c r="L985" s="1001">
        <v>12</v>
      </c>
      <c r="M985" s="1001">
        <v>1200</v>
      </c>
      <c r="N985" s="1001">
        <v>12</v>
      </c>
      <c r="O985" s="1001">
        <v>1200</v>
      </c>
      <c r="P985" s="1001">
        <v>12</v>
      </c>
      <c r="Q985" s="1001">
        <v>1200</v>
      </c>
      <c r="R985" s="1001"/>
      <c r="S985" s="1004"/>
      <c r="T985" s="1004"/>
    </row>
    <row r="986" spans="2:20" s="1003" customFormat="1" ht="38.25" customHeight="1" x14ac:dyDescent="0.25">
      <c r="B986" s="1061" t="s">
        <v>65</v>
      </c>
      <c r="C986" s="999" t="s">
        <v>3234</v>
      </c>
      <c r="D986" s="1015" t="s">
        <v>19</v>
      </c>
      <c r="E986" s="1001">
        <v>70</v>
      </c>
      <c r="F986" s="1001">
        <v>3</v>
      </c>
      <c r="G986" s="1006">
        <f>SUM(G989:G993)</f>
        <v>31400</v>
      </c>
      <c r="H986" s="1001">
        <v>2</v>
      </c>
      <c r="I986" s="1006">
        <f>SUM(I989:I993)</f>
        <v>25000</v>
      </c>
      <c r="J986" s="1001">
        <f>SUM(J989:J993)</f>
        <v>30</v>
      </c>
      <c r="K986" s="1006">
        <f>SUM(K989:K993)</f>
        <v>50000</v>
      </c>
      <c r="L986" s="1001">
        <v>2</v>
      </c>
      <c r="M986" s="1006">
        <f>SUM(M989:M993)</f>
        <v>23000</v>
      </c>
      <c r="N986" s="1001">
        <v>3</v>
      </c>
      <c r="O986" s="1006">
        <f>SUM(O989:O993)</f>
        <v>32000</v>
      </c>
      <c r="P986" s="1001">
        <v>2</v>
      </c>
      <c r="Q986" s="1006">
        <f>SUM(Q989:Q993)</f>
        <v>7500</v>
      </c>
      <c r="R986" s="1001">
        <f>E986+F986+H986+J986+L986+N986</f>
        <v>110</v>
      </c>
      <c r="S986" s="1004"/>
      <c r="T986" s="1004"/>
    </row>
    <row r="987" spans="2:20" s="1003" customFormat="1" ht="38.25" x14ac:dyDescent="0.25">
      <c r="B987" s="1067"/>
      <c r="C987" s="999" t="s">
        <v>3235</v>
      </c>
      <c r="D987" s="1015" t="s">
        <v>19</v>
      </c>
      <c r="E987" s="1001">
        <v>100</v>
      </c>
      <c r="F987" s="1001">
        <v>100</v>
      </c>
      <c r="G987" s="1006"/>
      <c r="H987" s="1001">
        <v>100</v>
      </c>
      <c r="I987" s="1006"/>
      <c r="J987" s="1001">
        <v>100</v>
      </c>
      <c r="K987" s="1006"/>
      <c r="L987" s="1001">
        <v>100</v>
      </c>
      <c r="M987" s="1006"/>
      <c r="N987" s="1001">
        <v>100</v>
      </c>
      <c r="O987" s="1006"/>
      <c r="P987" s="1001">
        <v>100</v>
      </c>
      <c r="Q987" s="1006"/>
      <c r="R987" s="1001">
        <v>100</v>
      </c>
      <c r="S987" s="1004"/>
      <c r="T987" s="1004"/>
    </row>
    <row r="988" spans="2:20" s="1003" customFormat="1" ht="38.25" x14ac:dyDescent="0.25">
      <c r="B988" s="1007" t="s">
        <v>144</v>
      </c>
      <c r="C988" s="999" t="s">
        <v>3544</v>
      </c>
      <c r="D988" s="1015" t="s">
        <v>69</v>
      </c>
      <c r="E988" s="1001"/>
      <c r="F988" s="1001">
        <v>0</v>
      </c>
      <c r="G988" s="1001">
        <v>0</v>
      </c>
      <c r="H988" s="1001">
        <v>0</v>
      </c>
      <c r="I988" s="1001">
        <v>0</v>
      </c>
      <c r="J988" s="1001">
        <v>1</v>
      </c>
      <c r="K988" s="1001">
        <v>2000</v>
      </c>
      <c r="L988" s="1001">
        <v>0</v>
      </c>
      <c r="M988" s="1001">
        <v>0</v>
      </c>
      <c r="N988" s="1001">
        <v>0</v>
      </c>
      <c r="O988" s="1001">
        <v>0</v>
      </c>
      <c r="P988" s="1001">
        <v>0</v>
      </c>
      <c r="Q988" s="1001">
        <v>0</v>
      </c>
      <c r="R988" s="1001"/>
      <c r="S988" s="1004"/>
      <c r="T988" s="1004"/>
    </row>
    <row r="989" spans="2:20" s="1003" customFormat="1" ht="51" x14ac:dyDescent="0.25">
      <c r="B989" s="998" t="s">
        <v>3236</v>
      </c>
      <c r="C989" s="1000" t="s">
        <v>3545</v>
      </c>
      <c r="D989" s="1025" t="s">
        <v>75</v>
      </c>
      <c r="E989" s="1001"/>
      <c r="F989" s="1001">
        <v>2</v>
      </c>
      <c r="G989" s="1001">
        <v>3000</v>
      </c>
      <c r="H989" s="1001">
        <v>0</v>
      </c>
      <c r="I989" s="1001">
        <v>0</v>
      </c>
      <c r="J989" s="1001">
        <v>4</v>
      </c>
      <c r="K989" s="1001">
        <v>4000</v>
      </c>
      <c r="L989" s="1001">
        <v>2</v>
      </c>
      <c r="M989" s="1001">
        <v>6000</v>
      </c>
      <c r="N989" s="1001">
        <v>4</v>
      </c>
      <c r="O989" s="1001">
        <v>8000</v>
      </c>
      <c r="P989" s="1001">
        <v>0</v>
      </c>
      <c r="Q989" s="1001"/>
      <c r="R989" s="1001"/>
      <c r="S989" s="1004"/>
      <c r="T989" s="1004"/>
    </row>
    <row r="990" spans="2:20" s="1003" customFormat="1" ht="38.25" x14ac:dyDescent="0.25">
      <c r="B990" s="998" t="s">
        <v>3238</v>
      </c>
      <c r="C990" s="1000" t="s">
        <v>3546</v>
      </c>
      <c r="D990" s="1025" t="s">
        <v>75</v>
      </c>
      <c r="E990" s="1001"/>
      <c r="F990" s="1001">
        <v>4</v>
      </c>
      <c r="G990" s="1001">
        <v>21400</v>
      </c>
      <c r="H990" s="1001">
        <v>6</v>
      </c>
      <c r="I990" s="1001">
        <v>19000</v>
      </c>
      <c r="J990" s="1001">
        <v>3</v>
      </c>
      <c r="K990" s="1001">
        <v>12000</v>
      </c>
      <c r="L990" s="1001">
        <v>2</v>
      </c>
      <c r="M990" s="1001">
        <v>9000</v>
      </c>
      <c r="N990" s="1001">
        <v>3</v>
      </c>
      <c r="O990" s="1001">
        <v>15000</v>
      </c>
      <c r="P990" s="1001">
        <v>3</v>
      </c>
      <c r="Q990" s="1001"/>
      <c r="R990" s="1001"/>
      <c r="S990" s="1004"/>
      <c r="T990" s="1004"/>
    </row>
    <row r="991" spans="2:20" s="1003" customFormat="1" ht="38.25" x14ac:dyDescent="0.25">
      <c r="B991" s="1007" t="s">
        <v>3242</v>
      </c>
      <c r="C991" s="999" t="s">
        <v>953</v>
      </c>
      <c r="D991" s="1015" t="s">
        <v>75</v>
      </c>
      <c r="E991" s="1001"/>
      <c r="F991" s="1001">
        <v>3</v>
      </c>
      <c r="G991" s="1001">
        <v>7000</v>
      </c>
      <c r="H991" s="1001">
        <v>3</v>
      </c>
      <c r="I991" s="1001">
        <v>6000</v>
      </c>
      <c r="J991" s="1001">
        <v>2</v>
      </c>
      <c r="K991" s="1001">
        <v>15000</v>
      </c>
      <c r="L991" s="1001">
        <v>2</v>
      </c>
      <c r="M991" s="1001">
        <v>8000</v>
      </c>
      <c r="N991" s="1001">
        <v>2</v>
      </c>
      <c r="O991" s="1001">
        <v>6000</v>
      </c>
      <c r="P991" s="1001">
        <v>2</v>
      </c>
      <c r="Q991" s="1001">
        <v>7500</v>
      </c>
      <c r="R991" s="1001"/>
      <c r="S991" s="1004"/>
      <c r="T991" s="1004"/>
    </row>
    <row r="992" spans="2:20" s="1003" customFormat="1" ht="25.5" x14ac:dyDescent="0.25">
      <c r="B992" s="1007"/>
      <c r="C992" s="999" t="s">
        <v>3547</v>
      </c>
      <c r="D992" s="1015" t="s">
        <v>75</v>
      </c>
      <c r="E992" s="1001"/>
      <c r="F992" s="1001">
        <v>0</v>
      </c>
      <c r="G992" s="1001">
        <v>0</v>
      </c>
      <c r="H992" s="1001">
        <v>0</v>
      </c>
      <c r="I992" s="1001">
        <v>0</v>
      </c>
      <c r="J992" s="1001">
        <v>1</v>
      </c>
      <c r="K992" s="1001">
        <v>15000</v>
      </c>
      <c r="L992" s="1001">
        <v>0</v>
      </c>
      <c r="M992" s="1001">
        <v>0</v>
      </c>
      <c r="N992" s="1001">
        <v>0</v>
      </c>
      <c r="O992" s="1001">
        <v>0</v>
      </c>
      <c r="P992" s="1001">
        <v>0</v>
      </c>
      <c r="Q992" s="1001">
        <v>0</v>
      </c>
      <c r="R992" s="1001"/>
      <c r="S992" s="1004"/>
      <c r="T992" s="1004"/>
    </row>
    <row r="993" spans="2:20" s="1003" customFormat="1" ht="38.25" x14ac:dyDescent="0.25">
      <c r="B993" s="1007" t="s">
        <v>3243</v>
      </c>
      <c r="C993" s="999" t="s">
        <v>3548</v>
      </c>
      <c r="D993" s="1015" t="s">
        <v>40</v>
      </c>
      <c r="E993" s="1001"/>
      <c r="F993" s="1001" t="s">
        <v>313</v>
      </c>
      <c r="G993" s="1001" t="s">
        <v>313</v>
      </c>
      <c r="H993" s="1001">
        <v>0</v>
      </c>
      <c r="I993" s="1001">
        <v>0</v>
      </c>
      <c r="J993" s="1001">
        <v>20</v>
      </c>
      <c r="K993" s="1001">
        <v>4000</v>
      </c>
      <c r="L993" s="1001">
        <v>0</v>
      </c>
      <c r="M993" s="1001"/>
      <c r="N993" s="1001">
        <v>10</v>
      </c>
      <c r="O993" s="1001">
        <v>3000</v>
      </c>
      <c r="P993" s="1001">
        <v>0</v>
      </c>
      <c r="Q993" s="1001"/>
      <c r="R993" s="1001"/>
      <c r="S993" s="1004"/>
      <c r="T993" s="1004"/>
    </row>
    <row r="994" spans="2:20" s="1003" customFormat="1" ht="63.75" x14ac:dyDescent="0.25">
      <c r="B994" s="1106" t="s">
        <v>3245</v>
      </c>
      <c r="C994" s="1000" t="s">
        <v>3246</v>
      </c>
      <c r="D994" s="1025" t="s">
        <v>79</v>
      </c>
      <c r="E994" s="1001">
        <v>10</v>
      </c>
      <c r="F994" s="1001">
        <f>F995</f>
        <v>5</v>
      </c>
      <c r="G994" s="1001">
        <f>G995</f>
        <v>5000</v>
      </c>
      <c r="H994" s="1001">
        <f>H995</f>
        <v>5</v>
      </c>
      <c r="I994" s="1001">
        <f t="shared" ref="I994:Q994" si="89">I995</f>
        <v>3000</v>
      </c>
      <c r="J994" s="1001">
        <f t="shared" si="89"/>
        <v>5</v>
      </c>
      <c r="K994" s="1001">
        <f t="shared" si="89"/>
        <v>4000</v>
      </c>
      <c r="L994" s="1001">
        <f t="shared" si="89"/>
        <v>2</v>
      </c>
      <c r="M994" s="1001">
        <f t="shared" si="89"/>
        <v>4000</v>
      </c>
      <c r="N994" s="1001">
        <f t="shared" si="89"/>
        <v>2</v>
      </c>
      <c r="O994" s="1001">
        <f t="shared" si="89"/>
        <v>4500</v>
      </c>
      <c r="P994" s="1001">
        <f t="shared" si="89"/>
        <v>2</v>
      </c>
      <c r="Q994" s="1001">
        <f t="shared" si="89"/>
        <v>4500</v>
      </c>
      <c r="R994" s="1001">
        <f>E994+F994+H994+J994+L994+N994</f>
        <v>29</v>
      </c>
      <c r="S994" s="1004"/>
      <c r="T994" s="1004"/>
    </row>
    <row r="995" spans="2:20" s="1003" customFormat="1" ht="102" x14ac:dyDescent="0.25">
      <c r="B995" s="998" t="s">
        <v>80</v>
      </c>
      <c r="C995" s="1000" t="s">
        <v>3549</v>
      </c>
      <c r="D995" s="1025" t="s">
        <v>79</v>
      </c>
      <c r="E995" s="1001"/>
      <c r="F995" s="1001">
        <v>5</v>
      </c>
      <c r="G995" s="1001">
        <v>5000</v>
      </c>
      <c r="H995" s="1001">
        <v>5</v>
      </c>
      <c r="I995" s="1001">
        <v>3000</v>
      </c>
      <c r="J995" s="1001">
        <v>5</v>
      </c>
      <c r="K995" s="1001">
        <v>4000</v>
      </c>
      <c r="L995" s="1001">
        <v>2</v>
      </c>
      <c r="M995" s="1001">
        <v>4000</v>
      </c>
      <c r="N995" s="1001">
        <v>2</v>
      </c>
      <c r="O995" s="1001">
        <v>4500</v>
      </c>
      <c r="P995" s="1001">
        <v>2</v>
      </c>
      <c r="Q995" s="1001">
        <v>4500</v>
      </c>
      <c r="R995" s="1001"/>
      <c r="S995" s="1004"/>
      <c r="T995" s="1004"/>
    </row>
    <row r="996" spans="2:20" s="1003" customFormat="1" ht="48" x14ac:dyDescent="0.25">
      <c r="B996" s="1106" t="s">
        <v>3248</v>
      </c>
      <c r="C996" s="1000" t="s">
        <v>3249</v>
      </c>
      <c r="D996" s="1025" t="s">
        <v>79</v>
      </c>
      <c r="E996" s="1001">
        <v>5</v>
      </c>
      <c r="F996" s="1001">
        <f>F997</f>
        <v>24</v>
      </c>
      <c r="G996" s="1001">
        <f>G997</f>
        <v>9200</v>
      </c>
      <c r="H996" s="1001">
        <f t="shared" ref="H996:Q996" si="90">H997</f>
        <v>24</v>
      </c>
      <c r="I996" s="1001">
        <f t="shared" si="90"/>
        <v>10350</v>
      </c>
      <c r="J996" s="1001">
        <f t="shared" si="90"/>
        <v>24</v>
      </c>
      <c r="K996" s="1001">
        <f t="shared" si="90"/>
        <v>11000</v>
      </c>
      <c r="L996" s="1001">
        <f t="shared" si="90"/>
        <v>24</v>
      </c>
      <c r="M996" s="1001">
        <f t="shared" si="90"/>
        <v>11000</v>
      </c>
      <c r="N996" s="1001">
        <f t="shared" si="90"/>
        <v>24</v>
      </c>
      <c r="O996" s="1001">
        <f t="shared" si="90"/>
        <v>12000</v>
      </c>
      <c r="P996" s="1001">
        <f t="shared" si="90"/>
        <v>24</v>
      </c>
      <c r="Q996" s="1001">
        <f t="shared" si="90"/>
        <v>12000</v>
      </c>
      <c r="R996" s="1001">
        <f>E996+F996+H996+J996+L996+N996</f>
        <v>125</v>
      </c>
      <c r="S996" s="1004"/>
      <c r="T996" s="1004"/>
    </row>
    <row r="997" spans="2:20" s="1003" customFormat="1" ht="63.75" x14ac:dyDescent="0.25">
      <c r="B997" s="998" t="s">
        <v>1712</v>
      </c>
      <c r="C997" s="1000" t="s">
        <v>3550</v>
      </c>
      <c r="D997" s="1025"/>
      <c r="E997" s="1001"/>
      <c r="F997" s="1001">
        <v>24</v>
      </c>
      <c r="G997" s="1001">
        <v>9200</v>
      </c>
      <c r="H997" s="1001">
        <v>24</v>
      </c>
      <c r="I997" s="1001">
        <v>10350</v>
      </c>
      <c r="J997" s="1001">
        <v>24</v>
      </c>
      <c r="K997" s="1001">
        <v>11000</v>
      </c>
      <c r="L997" s="1001">
        <v>24</v>
      </c>
      <c r="M997" s="1001">
        <v>11000</v>
      </c>
      <c r="N997" s="1001">
        <v>24</v>
      </c>
      <c r="O997" s="1001">
        <v>12000</v>
      </c>
      <c r="P997" s="1001">
        <v>24</v>
      </c>
      <c r="Q997" s="1001">
        <v>12000</v>
      </c>
      <c r="R997" s="1001"/>
      <c r="S997" s="1004"/>
      <c r="T997" s="1004"/>
    </row>
    <row r="998" spans="2:20" s="1003" customFormat="1" ht="63.75" customHeight="1" x14ac:dyDescent="0.25">
      <c r="B998" s="1106" t="s">
        <v>3251</v>
      </c>
      <c r="C998" s="1000" t="s">
        <v>3252</v>
      </c>
      <c r="D998" s="1025" t="s">
        <v>103</v>
      </c>
      <c r="E998" s="1001">
        <v>5</v>
      </c>
      <c r="F998" s="1001">
        <v>1</v>
      </c>
      <c r="G998" s="1029">
        <f>SUM(G999:G999)</f>
        <v>20700</v>
      </c>
      <c r="H998" s="1001">
        <v>1</v>
      </c>
      <c r="I998" s="1029">
        <f>SUM(I999:I999)</f>
        <v>23000</v>
      </c>
      <c r="J998" s="1001">
        <f>J999</f>
        <v>2</v>
      </c>
      <c r="K998" s="1029">
        <f>SUM(K999:K999)</f>
        <v>25000</v>
      </c>
      <c r="L998" s="1001">
        <f>L999</f>
        <v>2</v>
      </c>
      <c r="M998" s="1029">
        <f>SUM(M999:M999)</f>
        <v>25000</v>
      </c>
      <c r="N998" s="1001">
        <f>N999</f>
        <v>2</v>
      </c>
      <c r="O998" s="1029">
        <f>SUM(O999:O999)</f>
        <v>27500</v>
      </c>
      <c r="P998" s="1001">
        <f>P999</f>
        <v>2</v>
      </c>
      <c r="Q998" s="1029">
        <f>SUM(Q999:Q999)</f>
        <v>27500</v>
      </c>
      <c r="R998" s="1001">
        <f>E998+F998+H998+J998+L998+N998</f>
        <v>13</v>
      </c>
      <c r="S998" s="1004"/>
      <c r="T998" s="1004"/>
    </row>
    <row r="999" spans="2:20" s="1003" customFormat="1" ht="38.25" x14ac:dyDescent="0.25">
      <c r="B999" s="998" t="s">
        <v>3254</v>
      </c>
      <c r="C999" s="1000" t="s">
        <v>3551</v>
      </c>
      <c r="D999" s="1025" t="s">
        <v>103</v>
      </c>
      <c r="E999" s="1001"/>
      <c r="F999" s="1001">
        <v>1</v>
      </c>
      <c r="G999" s="1001">
        <v>20700</v>
      </c>
      <c r="H999" s="1001">
        <v>1</v>
      </c>
      <c r="I999" s="1001">
        <v>23000</v>
      </c>
      <c r="J999" s="1001">
        <v>2</v>
      </c>
      <c r="K999" s="1001">
        <v>25000</v>
      </c>
      <c r="L999" s="1001">
        <v>2</v>
      </c>
      <c r="M999" s="1001">
        <v>25000</v>
      </c>
      <c r="N999" s="1001">
        <v>2</v>
      </c>
      <c r="O999" s="1001">
        <v>27500</v>
      </c>
      <c r="P999" s="1001">
        <v>2</v>
      </c>
      <c r="Q999" s="1001">
        <v>27500</v>
      </c>
      <c r="R999" s="1001"/>
      <c r="S999" s="1004"/>
      <c r="T999" s="1004"/>
    </row>
    <row r="1000" spans="2:20" s="1003" customFormat="1" ht="48" x14ac:dyDescent="0.25">
      <c r="B1000" s="1106" t="s">
        <v>3420</v>
      </c>
      <c r="C1000" s="1000" t="s">
        <v>3552</v>
      </c>
      <c r="D1000" s="1025" t="s">
        <v>19</v>
      </c>
      <c r="E1000" s="1001">
        <v>100</v>
      </c>
      <c r="F1000" s="1001">
        <v>90</v>
      </c>
      <c r="G1000" s="1001">
        <f>G1001</f>
        <v>51850</v>
      </c>
      <c r="H1000" s="1001">
        <v>90</v>
      </c>
      <c r="I1000" s="1001">
        <f>I1001</f>
        <v>51000</v>
      </c>
      <c r="J1000" s="1001">
        <v>90</v>
      </c>
      <c r="K1000" s="1001">
        <f>K1001</f>
        <v>51000</v>
      </c>
      <c r="L1000" s="1001">
        <v>95</v>
      </c>
      <c r="M1000" s="1001">
        <f>M1001</f>
        <v>50000</v>
      </c>
      <c r="N1000" s="1001">
        <v>95</v>
      </c>
      <c r="O1000" s="1001">
        <f>O1001</f>
        <v>50000</v>
      </c>
      <c r="P1000" s="1001">
        <v>95</v>
      </c>
      <c r="Q1000" s="1001">
        <f>Q1001</f>
        <v>52000</v>
      </c>
      <c r="R1000" s="1001">
        <v>100</v>
      </c>
      <c r="S1000" s="1004"/>
      <c r="T1000" s="1004"/>
    </row>
    <row r="1001" spans="2:20" s="1003" customFormat="1" ht="25.5" x14ac:dyDescent="0.25">
      <c r="B1001" s="998" t="s">
        <v>3421</v>
      </c>
      <c r="C1001" s="1000" t="s">
        <v>3422</v>
      </c>
      <c r="D1001" s="1025" t="s">
        <v>40</v>
      </c>
      <c r="E1001" s="1001"/>
      <c r="F1001" s="1001">
        <v>12</v>
      </c>
      <c r="G1001" s="1001">
        <v>51850</v>
      </c>
      <c r="H1001" s="1001">
        <v>12</v>
      </c>
      <c r="I1001" s="1001">
        <v>51000</v>
      </c>
      <c r="J1001" s="1001">
        <v>12</v>
      </c>
      <c r="K1001" s="1001">
        <v>51000</v>
      </c>
      <c r="L1001" s="1001">
        <v>12</v>
      </c>
      <c r="M1001" s="1001">
        <v>50000</v>
      </c>
      <c r="N1001" s="1001">
        <v>12</v>
      </c>
      <c r="O1001" s="1001">
        <v>50000</v>
      </c>
      <c r="P1001" s="1001">
        <v>12</v>
      </c>
      <c r="Q1001" s="1001">
        <v>52000</v>
      </c>
      <c r="R1001" s="1001"/>
      <c r="S1001" s="1004"/>
      <c r="T1001" s="1004"/>
    </row>
    <row r="1002" spans="2:20" s="1003" customFormat="1" ht="72" x14ac:dyDescent="0.25">
      <c r="B1002" s="1106" t="s">
        <v>1716</v>
      </c>
      <c r="C1002" s="1021" t="s">
        <v>3553</v>
      </c>
      <c r="D1002" s="1025" t="s">
        <v>100</v>
      </c>
      <c r="E1002" s="1001"/>
      <c r="F1002" s="1001">
        <f>F1003</f>
        <v>46</v>
      </c>
      <c r="G1002" s="1001">
        <f>G1003</f>
        <v>6000</v>
      </c>
      <c r="H1002" s="1001">
        <f>H1003</f>
        <v>23</v>
      </c>
      <c r="I1002" s="1001">
        <f>I1003</f>
        <v>4000</v>
      </c>
      <c r="J1002" s="1001">
        <f t="shared" ref="J1002:Q1002" si="91">J1003</f>
        <v>46</v>
      </c>
      <c r="K1002" s="1001">
        <f t="shared" si="91"/>
        <v>7000</v>
      </c>
      <c r="L1002" s="1001">
        <f t="shared" si="91"/>
        <v>46</v>
      </c>
      <c r="M1002" s="1001">
        <f t="shared" si="91"/>
        <v>7000</v>
      </c>
      <c r="N1002" s="1001">
        <f t="shared" si="91"/>
        <v>46</v>
      </c>
      <c r="O1002" s="1001">
        <f t="shared" si="91"/>
        <v>8000</v>
      </c>
      <c r="P1002" s="1001">
        <f t="shared" si="91"/>
        <v>46</v>
      </c>
      <c r="Q1002" s="1001">
        <f t="shared" si="91"/>
        <v>8000</v>
      </c>
      <c r="R1002" s="1001"/>
      <c r="S1002" s="1004"/>
      <c r="T1002" s="1004"/>
    </row>
    <row r="1003" spans="2:20" s="1003" customFormat="1" ht="89.25" x14ac:dyDescent="0.25">
      <c r="B1003" s="998" t="s">
        <v>3554</v>
      </c>
      <c r="C1003" s="1021" t="s">
        <v>3555</v>
      </c>
      <c r="D1003" s="1025" t="s">
        <v>100</v>
      </c>
      <c r="E1003" s="1001"/>
      <c r="F1003" s="1001">
        <v>46</v>
      </c>
      <c r="G1003" s="1001">
        <v>6000</v>
      </c>
      <c r="H1003" s="1001">
        <v>23</v>
      </c>
      <c r="I1003" s="1001">
        <v>4000</v>
      </c>
      <c r="J1003" s="1001">
        <v>46</v>
      </c>
      <c r="K1003" s="1001">
        <v>7000</v>
      </c>
      <c r="L1003" s="1001">
        <v>46</v>
      </c>
      <c r="M1003" s="1001">
        <v>7000</v>
      </c>
      <c r="N1003" s="1001">
        <v>46</v>
      </c>
      <c r="O1003" s="1001">
        <v>8000</v>
      </c>
      <c r="P1003" s="1001">
        <v>46</v>
      </c>
      <c r="Q1003" s="1001">
        <v>8000</v>
      </c>
      <c r="R1003" s="1001"/>
      <c r="S1003" s="1004"/>
      <c r="T1003" s="1004"/>
    </row>
    <row r="1004" spans="2:20" s="1003" customFormat="1" ht="84" x14ac:dyDescent="0.25">
      <c r="B1004" s="1106" t="s">
        <v>1743</v>
      </c>
      <c r="C1004" s="1000" t="s">
        <v>3556</v>
      </c>
      <c r="D1004" s="1025" t="s">
        <v>97</v>
      </c>
      <c r="E1004" s="1001">
        <v>50</v>
      </c>
      <c r="F1004" s="1001">
        <f>SUM(F1005:F1006)</f>
        <v>46</v>
      </c>
      <c r="G1004" s="1001">
        <f>SUM(G1005:G1006)</f>
        <v>64400</v>
      </c>
      <c r="H1004" s="1001">
        <f>SUM(H1005:H1006)</f>
        <v>46</v>
      </c>
      <c r="I1004" s="1001">
        <f>SUM(I1005:I1006)</f>
        <v>43700</v>
      </c>
      <c r="J1004" s="1001">
        <f>J1005</f>
        <v>23</v>
      </c>
      <c r="K1004" s="1001">
        <f>SUM(K1005:K1006)</f>
        <v>48800</v>
      </c>
      <c r="L1004" s="1001">
        <f>L1005</f>
        <v>23</v>
      </c>
      <c r="M1004" s="1001">
        <f>SUM(M1005:M1006)</f>
        <v>48800</v>
      </c>
      <c r="N1004" s="1001">
        <f>N1005</f>
        <v>23</v>
      </c>
      <c r="O1004" s="1001">
        <f>SUM(O1005:O1006)</f>
        <v>62500</v>
      </c>
      <c r="P1004" s="1001">
        <f>P1005</f>
        <v>23</v>
      </c>
      <c r="Q1004" s="1001">
        <f>SUM(Q1005:Q1006)</f>
        <v>62500</v>
      </c>
      <c r="R1004" s="1001">
        <v>100</v>
      </c>
      <c r="S1004" s="1004"/>
      <c r="T1004" s="1004"/>
    </row>
    <row r="1005" spans="2:20" s="1003" customFormat="1" ht="38.25" x14ac:dyDescent="0.25">
      <c r="B1005" s="998" t="s">
        <v>1794</v>
      </c>
      <c r="C1005" s="1000" t="s">
        <v>3557</v>
      </c>
      <c r="D1005" s="1025" t="s">
        <v>97</v>
      </c>
      <c r="E1005" s="1001"/>
      <c r="F1005" s="1001">
        <v>23</v>
      </c>
      <c r="G1005" s="1001">
        <v>52900</v>
      </c>
      <c r="H1005" s="1001">
        <v>23</v>
      </c>
      <c r="I1005" s="1001">
        <v>32200</v>
      </c>
      <c r="J1005" s="1001">
        <v>23</v>
      </c>
      <c r="K1005" s="1001">
        <v>35000</v>
      </c>
      <c r="L1005" s="1001">
        <v>23</v>
      </c>
      <c r="M1005" s="1001">
        <v>35000</v>
      </c>
      <c r="N1005" s="1001">
        <v>23</v>
      </c>
      <c r="O1005" s="1001">
        <v>47500</v>
      </c>
      <c r="P1005" s="1001">
        <v>23</v>
      </c>
      <c r="Q1005" s="1001">
        <v>47500</v>
      </c>
      <c r="R1005" s="1001"/>
      <c r="S1005" s="1004"/>
      <c r="T1005" s="1004"/>
    </row>
    <row r="1006" spans="2:20" s="1003" customFormat="1" ht="51" x14ac:dyDescent="0.25">
      <c r="B1006" s="998" t="s">
        <v>3558</v>
      </c>
      <c r="C1006" s="1000" t="s">
        <v>3559</v>
      </c>
      <c r="D1006" s="1025" t="s">
        <v>97</v>
      </c>
      <c r="E1006" s="1001"/>
      <c r="F1006" s="1001">
        <v>23</v>
      </c>
      <c r="G1006" s="1001">
        <v>11500</v>
      </c>
      <c r="H1006" s="1001">
        <v>23</v>
      </c>
      <c r="I1006" s="1001">
        <v>11500</v>
      </c>
      <c r="J1006" s="1001">
        <v>23</v>
      </c>
      <c r="K1006" s="1001">
        <v>13800</v>
      </c>
      <c r="L1006" s="1001">
        <v>23</v>
      </c>
      <c r="M1006" s="1001">
        <v>13800</v>
      </c>
      <c r="N1006" s="1001">
        <v>23</v>
      </c>
      <c r="O1006" s="1001">
        <v>15000</v>
      </c>
      <c r="P1006" s="1001">
        <v>23</v>
      </c>
      <c r="Q1006" s="1001">
        <v>15000</v>
      </c>
      <c r="R1006" s="1001"/>
      <c r="S1006" s="1004"/>
      <c r="T1006" s="1004"/>
    </row>
    <row r="1007" spans="2:20" s="1003" customFormat="1" ht="72" x14ac:dyDescent="0.25">
      <c r="B1007" s="1063" t="s">
        <v>3425</v>
      </c>
      <c r="C1007" s="1000" t="s">
        <v>3739</v>
      </c>
      <c r="D1007" s="1025" t="s">
        <v>79</v>
      </c>
      <c r="E1007" s="1001">
        <v>1</v>
      </c>
      <c r="F1007" s="1001">
        <v>1</v>
      </c>
      <c r="G1007" s="1001">
        <f t="shared" ref="G1007:Q1007" si="92">G1008</f>
        <v>6900</v>
      </c>
      <c r="H1007" s="1001">
        <v>1</v>
      </c>
      <c r="I1007" s="1001">
        <f t="shared" si="92"/>
        <v>8050</v>
      </c>
      <c r="J1007" s="1001">
        <v>1</v>
      </c>
      <c r="K1007" s="1001">
        <f t="shared" si="92"/>
        <v>8500</v>
      </c>
      <c r="L1007" s="1001">
        <v>1</v>
      </c>
      <c r="M1007" s="1001">
        <f t="shared" si="92"/>
        <v>8500</v>
      </c>
      <c r="N1007" s="1001">
        <v>1</v>
      </c>
      <c r="O1007" s="1001">
        <f t="shared" si="92"/>
        <v>9000</v>
      </c>
      <c r="P1007" s="1001">
        <v>1</v>
      </c>
      <c r="Q1007" s="1001">
        <f t="shared" si="92"/>
        <v>9000</v>
      </c>
      <c r="R1007" s="1001">
        <f>E1007+F1007+H1007+J1007+L1007+N1007</f>
        <v>6</v>
      </c>
      <c r="S1007" s="1004"/>
      <c r="T1007" s="1004"/>
    </row>
    <row r="1008" spans="2:20" s="1003" customFormat="1" ht="51" x14ac:dyDescent="0.25">
      <c r="B1008" s="1008" t="s">
        <v>3277</v>
      </c>
      <c r="C1008" s="1000" t="s">
        <v>3560</v>
      </c>
      <c r="D1008" s="1025" t="s">
        <v>97</v>
      </c>
      <c r="E1008" s="1001"/>
      <c r="F1008" s="1001">
        <v>23</v>
      </c>
      <c r="G1008" s="1001">
        <v>6900</v>
      </c>
      <c r="H1008" s="1001">
        <v>23</v>
      </c>
      <c r="I1008" s="1001">
        <v>8050</v>
      </c>
      <c r="J1008" s="1001">
        <v>23</v>
      </c>
      <c r="K1008" s="1001">
        <v>8500</v>
      </c>
      <c r="L1008" s="1001">
        <v>23</v>
      </c>
      <c r="M1008" s="1001">
        <v>8500</v>
      </c>
      <c r="N1008" s="1001">
        <v>23</v>
      </c>
      <c r="O1008" s="1001">
        <v>9000</v>
      </c>
      <c r="P1008" s="1001">
        <v>23</v>
      </c>
      <c r="Q1008" s="1001">
        <v>9000</v>
      </c>
      <c r="R1008" s="1001"/>
      <c r="S1008" s="1004"/>
      <c r="T1008" s="1004"/>
    </row>
    <row r="1009" spans="2:20" s="1003" customFormat="1" ht="48" x14ac:dyDescent="0.25">
      <c r="B1009" s="1063" t="s">
        <v>3280</v>
      </c>
      <c r="C1009" s="1000" t="s">
        <v>3561</v>
      </c>
      <c r="D1009" s="1025" t="s">
        <v>100</v>
      </c>
      <c r="E1009" s="1001">
        <v>16</v>
      </c>
      <c r="F1009" s="1001">
        <f>F1010+F1011</f>
        <v>46</v>
      </c>
      <c r="G1009" s="1001">
        <f>SUM(G1010:G1011)</f>
        <v>4000</v>
      </c>
      <c r="H1009" s="1001">
        <f>SUM(H1010:H1011)</f>
        <v>46</v>
      </c>
      <c r="I1009" s="1001">
        <f>SUM(I1010:I1011)</f>
        <v>4500</v>
      </c>
      <c r="J1009" s="1001">
        <f>J1010+J1011</f>
        <v>92</v>
      </c>
      <c r="K1009" s="1001">
        <f t="shared" ref="K1009:Q1009" si="93">SUM(K1010:K1011)</f>
        <v>12000</v>
      </c>
      <c r="L1009" s="1001">
        <f t="shared" si="93"/>
        <v>92</v>
      </c>
      <c r="M1009" s="1001">
        <f t="shared" si="93"/>
        <v>12000</v>
      </c>
      <c r="N1009" s="1001">
        <f t="shared" si="93"/>
        <v>92</v>
      </c>
      <c r="O1009" s="1001">
        <f t="shared" si="93"/>
        <v>14000</v>
      </c>
      <c r="P1009" s="1001">
        <f t="shared" si="93"/>
        <v>92</v>
      </c>
      <c r="Q1009" s="1001">
        <f t="shared" si="93"/>
        <v>14000</v>
      </c>
      <c r="R1009" s="1001">
        <f>N1009</f>
        <v>92</v>
      </c>
      <c r="S1009" s="1004"/>
      <c r="T1009" s="1004"/>
    </row>
    <row r="1010" spans="2:20" s="1003" customFormat="1" ht="38.25" x14ac:dyDescent="0.25">
      <c r="B1010" s="1008" t="s">
        <v>1298</v>
      </c>
      <c r="C1010" s="1000" t="s">
        <v>3562</v>
      </c>
      <c r="D1010" s="1025" t="s">
        <v>100</v>
      </c>
      <c r="E1010" s="1001"/>
      <c r="F1010" s="1001">
        <v>46</v>
      </c>
      <c r="G1010" s="1001">
        <v>4000</v>
      </c>
      <c r="H1010" s="1001">
        <v>0</v>
      </c>
      <c r="I1010" s="1001">
        <v>0</v>
      </c>
      <c r="J1010" s="1001">
        <v>46</v>
      </c>
      <c r="K1010" s="1001">
        <v>6000</v>
      </c>
      <c r="L1010" s="1001">
        <v>46</v>
      </c>
      <c r="M1010" s="1001">
        <v>6000</v>
      </c>
      <c r="N1010" s="1001">
        <v>46</v>
      </c>
      <c r="O1010" s="1001">
        <v>7000</v>
      </c>
      <c r="P1010" s="1001">
        <v>46</v>
      </c>
      <c r="Q1010" s="1001">
        <v>7000</v>
      </c>
      <c r="R1010" s="1001"/>
      <c r="S1010" s="1004"/>
      <c r="T1010" s="1004"/>
    </row>
    <row r="1011" spans="2:20" s="1003" customFormat="1" ht="38.25" x14ac:dyDescent="0.25">
      <c r="B1011" s="1008" t="s">
        <v>3282</v>
      </c>
      <c r="C1011" s="1000" t="s">
        <v>3283</v>
      </c>
      <c r="D1011" s="1025" t="s">
        <v>327</v>
      </c>
      <c r="E1011" s="1001"/>
      <c r="F1011" s="1001">
        <v>0</v>
      </c>
      <c r="G1011" s="1001" t="s">
        <v>313</v>
      </c>
      <c r="H1011" s="1001">
        <v>46</v>
      </c>
      <c r="I1011" s="1001">
        <v>4500</v>
      </c>
      <c r="J1011" s="1001">
        <v>46</v>
      </c>
      <c r="K1011" s="1001">
        <v>6000</v>
      </c>
      <c r="L1011" s="1001">
        <v>46</v>
      </c>
      <c r="M1011" s="1001">
        <v>6000</v>
      </c>
      <c r="N1011" s="1001">
        <v>46</v>
      </c>
      <c r="O1011" s="1001">
        <v>7000</v>
      </c>
      <c r="P1011" s="1001">
        <v>46</v>
      </c>
      <c r="Q1011" s="1001">
        <v>7000</v>
      </c>
      <c r="R1011" s="1001"/>
      <c r="S1011" s="1004"/>
      <c r="T1011" s="1004"/>
    </row>
    <row r="1012" spans="2:20" s="1003" customFormat="1" ht="60" x14ac:dyDescent="0.25">
      <c r="B1012" s="1106" t="s">
        <v>3284</v>
      </c>
      <c r="C1012" s="1009" t="s">
        <v>3563</v>
      </c>
      <c r="D1012" s="1025" t="s">
        <v>100</v>
      </c>
      <c r="E1012" s="1001">
        <v>100</v>
      </c>
      <c r="F1012" s="1001">
        <f t="shared" ref="F1012:Q1012" si="94">F1013</f>
        <v>46</v>
      </c>
      <c r="G1012" s="1001">
        <f t="shared" si="94"/>
        <v>5000</v>
      </c>
      <c r="H1012" s="1001">
        <f t="shared" si="94"/>
        <v>46</v>
      </c>
      <c r="I1012" s="1001">
        <f t="shared" si="94"/>
        <v>6000</v>
      </c>
      <c r="J1012" s="1001">
        <f t="shared" si="94"/>
        <v>46</v>
      </c>
      <c r="K1012" s="1001">
        <f t="shared" si="94"/>
        <v>7000</v>
      </c>
      <c r="L1012" s="1001">
        <f t="shared" si="94"/>
        <v>46</v>
      </c>
      <c r="M1012" s="1001">
        <f t="shared" si="94"/>
        <v>7000</v>
      </c>
      <c r="N1012" s="1001">
        <f t="shared" si="94"/>
        <v>46</v>
      </c>
      <c r="O1012" s="1001">
        <f t="shared" si="94"/>
        <v>8000</v>
      </c>
      <c r="P1012" s="1001">
        <f t="shared" si="94"/>
        <v>46</v>
      </c>
      <c r="Q1012" s="1001">
        <f t="shared" si="94"/>
        <v>8000</v>
      </c>
      <c r="R1012" s="1001">
        <f>N1012</f>
        <v>46</v>
      </c>
      <c r="S1012" s="1004"/>
      <c r="T1012" s="1004"/>
    </row>
    <row r="1013" spans="2:20" s="1003" customFormat="1" ht="63.75" x14ac:dyDescent="0.25">
      <c r="B1013" s="998" t="s">
        <v>3286</v>
      </c>
      <c r="C1013" s="1009" t="s">
        <v>3564</v>
      </c>
      <c r="D1013" s="1025" t="s">
        <v>100</v>
      </c>
      <c r="E1013" s="1001"/>
      <c r="F1013" s="1001">
        <v>46</v>
      </c>
      <c r="G1013" s="1001">
        <v>5000</v>
      </c>
      <c r="H1013" s="1001">
        <v>46</v>
      </c>
      <c r="I1013" s="1001">
        <v>6000</v>
      </c>
      <c r="J1013" s="1001">
        <v>46</v>
      </c>
      <c r="K1013" s="1001">
        <v>7000</v>
      </c>
      <c r="L1013" s="1001">
        <v>46</v>
      </c>
      <c r="M1013" s="1001">
        <v>7000</v>
      </c>
      <c r="N1013" s="1001">
        <v>46</v>
      </c>
      <c r="O1013" s="1001">
        <v>8000</v>
      </c>
      <c r="P1013" s="1001">
        <v>46</v>
      </c>
      <c r="Q1013" s="1001">
        <v>8000</v>
      </c>
      <c r="R1013" s="1001"/>
      <c r="S1013" s="1004"/>
      <c r="T1013" s="1004"/>
    </row>
    <row r="1014" spans="2:20" s="1003" customFormat="1" ht="51" x14ac:dyDescent="0.25">
      <c r="B1014" s="1106" t="s">
        <v>3289</v>
      </c>
      <c r="C1014" s="1009" t="s">
        <v>3565</v>
      </c>
      <c r="D1014" s="1025" t="s">
        <v>275</v>
      </c>
      <c r="E1014" s="1001">
        <v>30</v>
      </c>
      <c r="F1014" s="1001">
        <f>F1015</f>
        <v>7</v>
      </c>
      <c r="G1014" s="1001">
        <f t="shared" ref="G1014:Q1014" si="95">G1015</f>
        <v>12000</v>
      </c>
      <c r="H1014" s="1001">
        <f t="shared" si="95"/>
        <v>7</v>
      </c>
      <c r="I1014" s="1001">
        <f t="shared" si="95"/>
        <v>11500</v>
      </c>
      <c r="J1014" s="1001">
        <f t="shared" si="95"/>
        <v>7</v>
      </c>
      <c r="K1014" s="1001">
        <f t="shared" si="95"/>
        <v>12000</v>
      </c>
      <c r="L1014" s="1001">
        <f t="shared" si="95"/>
        <v>7</v>
      </c>
      <c r="M1014" s="1001">
        <f t="shared" si="95"/>
        <v>12000</v>
      </c>
      <c r="N1014" s="1001">
        <f t="shared" si="95"/>
        <v>7</v>
      </c>
      <c r="O1014" s="1001">
        <f t="shared" si="95"/>
        <v>12500</v>
      </c>
      <c r="P1014" s="1001">
        <f t="shared" si="95"/>
        <v>7</v>
      </c>
      <c r="Q1014" s="1001">
        <f t="shared" si="95"/>
        <v>12500</v>
      </c>
      <c r="R1014" s="1001">
        <f>F1014+H1014+J1014+L1014+N1014</f>
        <v>35</v>
      </c>
      <c r="S1014" s="1004"/>
      <c r="T1014" s="1004"/>
    </row>
    <row r="1015" spans="2:20" s="1003" customFormat="1" ht="76.5" x14ac:dyDescent="0.25">
      <c r="B1015" s="998" t="s">
        <v>894</v>
      </c>
      <c r="C1015" s="1009" t="s">
        <v>3566</v>
      </c>
      <c r="D1015" s="1025" t="s">
        <v>275</v>
      </c>
      <c r="E1015" s="1001"/>
      <c r="F1015" s="1001">
        <v>7</v>
      </c>
      <c r="G1015" s="1001">
        <v>12000</v>
      </c>
      <c r="H1015" s="1001">
        <v>7</v>
      </c>
      <c r="I1015" s="1001">
        <v>11500</v>
      </c>
      <c r="J1015" s="1001">
        <v>7</v>
      </c>
      <c r="K1015" s="1001">
        <v>12000</v>
      </c>
      <c r="L1015" s="1001">
        <v>7</v>
      </c>
      <c r="M1015" s="1001">
        <v>12000</v>
      </c>
      <c r="N1015" s="1001">
        <v>7</v>
      </c>
      <c r="O1015" s="1001">
        <v>12500</v>
      </c>
      <c r="P1015" s="1001">
        <v>7</v>
      </c>
      <c r="Q1015" s="1001">
        <v>12500</v>
      </c>
      <c r="R1015" s="1001"/>
      <c r="S1015" s="1004"/>
      <c r="T1015" s="1004"/>
    </row>
    <row r="1016" spans="2:20" s="1003" customFormat="1" ht="60" x14ac:dyDescent="0.25">
      <c r="B1016" s="1063" t="s">
        <v>3292</v>
      </c>
      <c r="C1016" s="1000" t="s">
        <v>3567</v>
      </c>
      <c r="D1016" s="1025" t="s">
        <v>97</v>
      </c>
      <c r="E1016" s="1001">
        <v>75</v>
      </c>
      <c r="F1016" s="1001">
        <v>1</v>
      </c>
      <c r="G1016" s="1001">
        <f t="shared" ref="G1016:M1016" si="96">G1017</f>
        <v>1000</v>
      </c>
      <c r="H1016" s="1001">
        <f t="shared" si="96"/>
        <v>24</v>
      </c>
      <c r="I1016" s="1001">
        <f t="shared" si="96"/>
        <v>5600</v>
      </c>
      <c r="J1016" s="1001">
        <f t="shared" si="96"/>
        <v>0</v>
      </c>
      <c r="K1016" s="1001">
        <f t="shared" si="96"/>
        <v>0</v>
      </c>
      <c r="L1016" s="1001">
        <f t="shared" si="96"/>
        <v>22</v>
      </c>
      <c r="M1016" s="1001">
        <f t="shared" si="96"/>
        <v>33000</v>
      </c>
      <c r="N1016" s="1001"/>
      <c r="O1016" s="1001">
        <f>O1017</f>
        <v>0</v>
      </c>
      <c r="P1016" s="1001"/>
      <c r="Q1016" s="1001">
        <f>Q1017</f>
        <v>0</v>
      </c>
      <c r="R1016" s="1001">
        <f>L1016</f>
        <v>22</v>
      </c>
      <c r="S1016" s="1004"/>
      <c r="T1016" s="1004"/>
    </row>
    <row r="1017" spans="2:20" s="1003" customFormat="1" ht="51" x14ac:dyDescent="0.25">
      <c r="B1017" s="1008" t="s">
        <v>3568</v>
      </c>
      <c r="C1017" s="1000" t="s">
        <v>3569</v>
      </c>
      <c r="D1017" s="1025" t="s">
        <v>97</v>
      </c>
      <c r="E1017" s="1001"/>
      <c r="F1017" s="1001">
        <v>1</v>
      </c>
      <c r="G1017" s="1001">
        <v>1000</v>
      </c>
      <c r="H1017" s="1001">
        <v>24</v>
      </c>
      <c r="I1017" s="1001">
        <v>5600</v>
      </c>
      <c r="J1017" s="1001">
        <v>0</v>
      </c>
      <c r="K1017" s="1001">
        <v>0</v>
      </c>
      <c r="L1017" s="1001">
        <v>22</v>
      </c>
      <c r="M1017" s="1001">
        <f>1500*L1017</f>
        <v>33000</v>
      </c>
      <c r="N1017" s="1001">
        <v>0</v>
      </c>
      <c r="O1017" s="1001">
        <v>0</v>
      </c>
      <c r="P1017" s="1001">
        <v>0</v>
      </c>
      <c r="Q1017" s="1001">
        <v>0</v>
      </c>
      <c r="R1017" s="1001"/>
      <c r="S1017" s="1004"/>
      <c r="T1017" s="1004"/>
    </row>
    <row r="1018" spans="2:20" s="1003" customFormat="1" ht="60" x14ac:dyDescent="0.25">
      <c r="B1018" s="1063" t="s">
        <v>3296</v>
      </c>
      <c r="C1018" s="1000" t="s">
        <v>3570</v>
      </c>
      <c r="D1018" s="1025" t="s">
        <v>100</v>
      </c>
      <c r="E1018" s="1001">
        <v>11</v>
      </c>
      <c r="F1018" s="1001">
        <f>F1019</f>
        <v>46</v>
      </c>
      <c r="G1018" s="1001">
        <f t="shared" ref="G1018:Q1018" si="97">G1019</f>
        <v>4600</v>
      </c>
      <c r="H1018" s="1001">
        <f t="shared" si="97"/>
        <v>46</v>
      </c>
      <c r="I1018" s="1001">
        <f t="shared" si="97"/>
        <v>5750</v>
      </c>
      <c r="J1018" s="1001">
        <f t="shared" si="97"/>
        <v>46</v>
      </c>
      <c r="K1018" s="1001">
        <f t="shared" si="97"/>
        <v>6000</v>
      </c>
      <c r="L1018" s="1001">
        <f t="shared" si="97"/>
        <v>46</v>
      </c>
      <c r="M1018" s="1001">
        <f t="shared" si="97"/>
        <v>6000</v>
      </c>
      <c r="N1018" s="1001">
        <f t="shared" si="97"/>
        <v>46</v>
      </c>
      <c r="O1018" s="1001">
        <f t="shared" si="97"/>
        <v>6500</v>
      </c>
      <c r="P1018" s="1001">
        <f t="shared" si="97"/>
        <v>46</v>
      </c>
      <c r="Q1018" s="1001">
        <f t="shared" si="97"/>
        <v>6500</v>
      </c>
      <c r="R1018" s="1001">
        <f>N1018</f>
        <v>46</v>
      </c>
      <c r="S1018" s="1004"/>
      <c r="T1018" s="1004"/>
    </row>
    <row r="1019" spans="2:20" s="1003" customFormat="1" ht="38.25" x14ac:dyDescent="0.25">
      <c r="B1019" s="1008" t="s">
        <v>383</v>
      </c>
      <c r="C1019" s="1000" t="s">
        <v>3571</v>
      </c>
      <c r="D1019" s="1025" t="s">
        <v>100</v>
      </c>
      <c r="E1019" s="1001"/>
      <c r="F1019" s="1001">
        <v>46</v>
      </c>
      <c r="G1019" s="1001">
        <v>4600</v>
      </c>
      <c r="H1019" s="1001">
        <v>46</v>
      </c>
      <c r="I1019" s="1001">
        <v>5750</v>
      </c>
      <c r="J1019" s="1001">
        <v>46</v>
      </c>
      <c r="K1019" s="1001">
        <v>6000</v>
      </c>
      <c r="L1019" s="1001">
        <v>46</v>
      </c>
      <c r="M1019" s="1001">
        <v>6000</v>
      </c>
      <c r="N1019" s="1001">
        <v>46</v>
      </c>
      <c r="O1019" s="1001">
        <v>6500</v>
      </c>
      <c r="P1019" s="1001">
        <v>46</v>
      </c>
      <c r="Q1019" s="1001">
        <v>6500</v>
      </c>
      <c r="R1019" s="1001"/>
      <c r="S1019" s="1004"/>
      <c r="T1019" s="1004"/>
    </row>
    <row r="1020" spans="2:20" s="1032" customFormat="1" x14ac:dyDescent="0.25">
      <c r="B1020" s="1027" t="s">
        <v>2651</v>
      </c>
      <c r="C1020" s="1033"/>
      <c r="D1020" s="1034"/>
      <c r="E1020" s="1033"/>
      <c r="F1020" s="1033"/>
      <c r="G1020" s="1035">
        <f>G1018+G1016+G1014+G1012+G1009+G1007+G1004+G1000+G998+G996+G994+G986+G972+G1003</f>
        <v>315040</v>
      </c>
      <c r="H1020" s="1033"/>
      <c r="I1020" s="1035">
        <f>I1018+I1016+I1014+I1012+I1009+I1007+I1004+I1000+I998+I996+I994+I986+I972+I1003</f>
        <v>301346</v>
      </c>
      <c r="J1020" s="1033"/>
      <c r="K1020" s="1035">
        <f>K1018+K1016+K1014+K1012+K1009+K1007+K1004+K1000+K998+K996+K994+K986+K972</f>
        <v>342900</v>
      </c>
      <c r="L1020" s="1033"/>
      <c r="M1020" s="1035">
        <f>M1018+M1016+M1014+M1012+M1009+M1007+M1004+M1000+M998+M996+M994+M986+M972</f>
        <v>347900</v>
      </c>
      <c r="N1020" s="1033"/>
      <c r="O1020" s="1035">
        <f>O1018+O1016+O1014+O1012+O1009+O1007+O1004+O1000+O998+O996+O994+O986+O972</f>
        <v>353450</v>
      </c>
      <c r="P1020" s="1033"/>
      <c r="Q1020" s="1035">
        <f>Q1018+Q1016+Q1014+Q1012+Q1009+Q1007+Q1004+Q1000+Q998+Q996+Q994+Q986+Q972</f>
        <v>331450</v>
      </c>
      <c r="R1020" s="1033"/>
      <c r="S1020" s="1036"/>
      <c r="T1020" s="1036"/>
    </row>
    <row r="1021" spans="2:20" s="1003" customFormat="1" x14ac:dyDescent="0.25">
      <c r="B1021" s="1005"/>
      <c r="C1021" s="1100"/>
      <c r="D1021" s="1000"/>
      <c r="E1021" s="1001"/>
      <c r="F1021" s="1001"/>
      <c r="G1021" s="1001"/>
      <c r="H1021" s="1001"/>
      <c r="I1021" s="1001"/>
      <c r="J1021" s="1001"/>
      <c r="K1021" s="1001"/>
      <c r="L1021" s="1001"/>
      <c r="M1021" s="1001"/>
      <c r="N1021" s="1001"/>
      <c r="O1021" s="1001"/>
      <c r="P1021" s="1001"/>
      <c r="Q1021" s="1001"/>
      <c r="R1021" s="1001"/>
      <c r="S1021" s="1004"/>
      <c r="T1021" s="1004"/>
    </row>
    <row r="1022" spans="2:20" s="1003" customFormat="1" x14ac:dyDescent="0.25">
      <c r="B1022" s="1167" t="s">
        <v>3572</v>
      </c>
      <c r="C1022" s="1100"/>
      <c r="D1022" s="1000"/>
      <c r="E1022" s="1001"/>
      <c r="F1022" s="1001"/>
      <c r="G1022" s="1001"/>
      <c r="H1022" s="1001"/>
      <c r="I1022" s="1001"/>
      <c r="J1022" s="1001"/>
      <c r="K1022" s="1001"/>
      <c r="L1022" s="1001"/>
      <c r="M1022" s="1001"/>
      <c r="N1022" s="1001"/>
      <c r="O1022" s="1001"/>
      <c r="P1022" s="1001"/>
      <c r="Q1022" s="1001"/>
      <c r="R1022" s="1001"/>
      <c r="S1022" s="1004"/>
      <c r="T1022" s="1004"/>
    </row>
    <row r="1023" spans="2:20" s="1003" customFormat="1" ht="51" customHeight="1" x14ac:dyDescent="0.25">
      <c r="B1023" s="998"/>
      <c r="C1023" s="999" t="s">
        <v>3228</v>
      </c>
      <c r="D1023" s="1025" t="s">
        <v>19</v>
      </c>
      <c r="E1023" s="1001">
        <v>90</v>
      </c>
      <c r="F1023" s="1001">
        <v>93</v>
      </c>
      <c r="G1023" s="1001"/>
      <c r="H1023" s="1001">
        <v>94</v>
      </c>
      <c r="I1023" s="1001"/>
      <c r="J1023" s="1001">
        <v>95</v>
      </c>
      <c r="K1023" s="1001"/>
      <c r="L1023" s="1001">
        <v>96</v>
      </c>
      <c r="M1023" s="1001"/>
      <c r="N1023" s="1001">
        <v>97</v>
      </c>
      <c r="O1023" s="1001"/>
      <c r="P1023" s="1001">
        <v>98</v>
      </c>
      <c r="Q1023" s="1001"/>
      <c r="R1023" s="1001">
        <v>97</v>
      </c>
      <c r="S1023" s="1002"/>
      <c r="T1023" s="1002"/>
    </row>
    <row r="1024" spans="2:20" s="1003" customFormat="1" ht="63.75" x14ac:dyDescent="0.25">
      <c r="B1024" s="1106" t="s">
        <v>3229</v>
      </c>
      <c r="C1024" s="1000" t="s">
        <v>1488</v>
      </c>
      <c r="D1024" s="1025" t="s">
        <v>19</v>
      </c>
      <c r="E1024" s="1001">
        <v>100</v>
      </c>
      <c r="F1024" s="1001">
        <v>20</v>
      </c>
      <c r="G1024" s="1001">
        <f>SUM(G1025:G1037)</f>
        <v>91171</v>
      </c>
      <c r="H1024" s="1001">
        <v>20</v>
      </c>
      <c r="I1024" s="1001">
        <f>SUM(I1025:I1037)</f>
        <v>100000</v>
      </c>
      <c r="J1024" s="1001">
        <v>20</v>
      </c>
      <c r="K1024" s="1001">
        <f>SUM(K1025:K1037)</f>
        <v>111660</v>
      </c>
      <c r="L1024" s="1001">
        <v>20</v>
      </c>
      <c r="M1024" s="1001">
        <f>SUM(M1025:M1037)</f>
        <v>119020</v>
      </c>
      <c r="N1024" s="1001">
        <v>20</v>
      </c>
      <c r="O1024" s="1001">
        <f>SUM(O1025:O1037)</f>
        <v>129150</v>
      </c>
      <c r="P1024" s="1001">
        <v>20</v>
      </c>
      <c r="Q1024" s="1001">
        <f>SUM(Q1025:Q1037)</f>
        <v>138500</v>
      </c>
      <c r="R1024" s="1001">
        <v>100</v>
      </c>
      <c r="S1024" s="1004"/>
      <c r="T1024" s="1004"/>
    </row>
    <row r="1025" spans="2:20" s="1003" customFormat="1" ht="25.5" x14ac:dyDescent="0.25">
      <c r="B1025" s="998" t="s">
        <v>124</v>
      </c>
      <c r="C1025" s="1100" t="s">
        <v>3230</v>
      </c>
      <c r="D1025" s="1025" t="s">
        <v>40</v>
      </c>
      <c r="E1025" s="1001"/>
      <c r="F1025" s="1001">
        <v>12</v>
      </c>
      <c r="G1025" s="1001">
        <v>871</v>
      </c>
      <c r="H1025" s="1001">
        <v>12</v>
      </c>
      <c r="I1025" s="1001">
        <v>1200</v>
      </c>
      <c r="J1025" s="1001">
        <v>12</v>
      </c>
      <c r="K1025" s="1001">
        <v>1500</v>
      </c>
      <c r="L1025" s="1001">
        <v>12</v>
      </c>
      <c r="M1025" s="1001">
        <v>1560</v>
      </c>
      <c r="N1025" s="1001">
        <v>12</v>
      </c>
      <c r="O1025" s="1001">
        <v>2000</v>
      </c>
      <c r="P1025" s="1001">
        <v>12</v>
      </c>
      <c r="Q1025" s="1001">
        <v>2000</v>
      </c>
      <c r="R1025" s="1001"/>
      <c r="S1025" s="1004"/>
      <c r="T1025" s="1004"/>
    </row>
    <row r="1026" spans="2:20" s="1003" customFormat="1" ht="51" x14ac:dyDescent="0.25">
      <c r="B1026" s="1005" t="s">
        <v>126</v>
      </c>
      <c r="C1026" s="1100" t="s">
        <v>2518</v>
      </c>
      <c r="D1026" s="1025" t="s">
        <v>40</v>
      </c>
      <c r="E1026" s="1001"/>
      <c r="F1026" s="1001">
        <v>12</v>
      </c>
      <c r="G1026" s="1001">
        <v>9000</v>
      </c>
      <c r="H1026" s="1001">
        <v>12</v>
      </c>
      <c r="I1026" s="1001">
        <v>9000</v>
      </c>
      <c r="J1026" s="1001">
        <v>12</v>
      </c>
      <c r="K1026" s="1001">
        <v>12960</v>
      </c>
      <c r="L1026" s="1001">
        <v>12</v>
      </c>
      <c r="M1026" s="1001">
        <v>12960</v>
      </c>
      <c r="N1026" s="1001">
        <v>12</v>
      </c>
      <c r="O1026" s="1001">
        <v>13200</v>
      </c>
      <c r="P1026" s="1001">
        <v>12</v>
      </c>
      <c r="Q1026" s="1001">
        <v>13500</v>
      </c>
      <c r="R1026" s="1001"/>
      <c r="S1026" s="1004"/>
      <c r="T1026" s="1004"/>
    </row>
    <row r="1027" spans="2:20" s="1003" customFormat="1" ht="76.5" x14ac:dyDescent="0.25">
      <c r="B1027" s="1005" t="s">
        <v>3231</v>
      </c>
      <c r="C1027" s="1100" t="s">
        <v>2519</v>
      </c>
      <c r="D1027" s="1025" t="s">
        <v>40</v>
      </c>
      <c r="E1027" s="1001"/>
      <c r="F1027" s="1001">
        <v>12</v>
      </c>
      <c r="G1027" s="1001">
        <v>22000</v>
      </c>
      <c r="H1027" s="1001">
        <v>12</v>
      </c>
      <c r="I1027" s="1001">
        <v>22000</v>
      </c>
      <c r="J1027" s="1001">
        <v>12</v>
      </c>
      <c r="K1027" s="1001">
        <v>24000</v>
      </c>
      <c r="L1027" s="1001">
        <v>12</v>
      </c>
      <c r="M1027" s="1001">
        <v>25000</v>
      </c>
      <c r="N1027" s="1001">
        <v>12</v>
      </c>
      <c r="O1027" s="1001">
        <v>27000</v>
      </c>
      <c r="P1027" s="1001">
        <v>12</v>
      </c>
      <c r="Q1027" s="1001">
        <v>27000</v>
      </c>
      <c r="R1027" s="1001"/>
      <c r="S1027" s="1004"/>
      <c r="T1027" s="1004"/>
    </row>
    <row r="1028" spans="2:20" s="1003" customFormat="1" ht="38.25" x14ac:dyDescent="0.25">
      <c r="B1028" s="1005" t="s">
        <v>45</v>
      </c>
      <c r="C1028" s="1100" t="s">
        <v>2520</v>
      </c>
      <c r="D1028" s="1025" t="s">
        <v>40</v>
      </c>
      <c r="E1028" s="1001"/>
      <c r="F1028" s="1001">
        <v>12</v>
      </c>
      <c r="G1028" s="1001">
        <v>17500</v>
      </c>
      <c r="H1028" s="1001">
        <v>12</v>
      </c>
      <c r="I1028" s="1001">
        <v>20000</v>
      </c>
      <c r="J1028" s="1001">
        <v>12</v>
      </c>
      <c r="K1028" s="1001">
        <v>20000</v>
      </c>
      <c r="L1028" s="1001">
        <v>12</v>
      </c>
      <c r="M1028" s="1001">
        <v>22000</v>
      </c>
      <c r="N1028" s="1001">
        <v>12</v>
      </c>
      <c r="O1028" s="1001">
        <v>24000</v>
      </c>
      <c r="P1028" s="1001">
        <v>12</v>
      </c>
      <c r="Q1028" s="1001">
        <v>26000</v>
      </c>
      <c r="R1028" s="1001"/>
      <c r="S1028" s="1004"/>
      <c r="T1028" s="1004"/>
    </row>
    <row r="1029" spans="2:20" s="1003" customFormat="1" ht="38.25" x14ac:dyDescent="0.25">
      <c r="B1029" s="1005" t="s">
        <v>47</v>
      </c>
      <c r="C1029" s="1100" t="s">
        <v>2521</v>
      </c>
      <c r="D1029" s="1025" t="s">
        <v>40</v>
      </c>
      <c r="E1029" s="1001"/>
      <c r="F1029" s="1001">
        <v>12</v>
      </c>
      <c r="G1029" s="1001">
        <v>3500</v>
      </c>
      <c r="H1029" s="1001">
        <v>12</v>
      </c>
      <c r="I1029" s="1001">
        <v>4000</v>
      </c>
      <c r="J1029" s="1001">
        <v>12</v>
      </c>
      <c r="K1029" s="1001">
        <v>4000</v>
      </c>
      <c r="L1029" s="1001">
        <v>12</v>
      </c>
      <c r="M1029" s="1001">
        <v>4200</v>
      </c>
      <c r="N1029" s="1001">
        <v>12</v>
      </c>
      <c r="O1029" s="1001">
        <v>4250</v>
      </c>
      <c r="P1029" s="1001">
        <v>12</v>
      </c>
      <c r="Q1029" s="1001">
        <v>4400</v>
      </c>
      <c r="R1029" s="1001"/>
      <c r="S1029" s="1004"/>
      <c r="T1029" s="1004"/>
    </row>
    <row r="1030" spans="2:20" s="1003" customFormat="1" ht="51" x14ac:dyDescent="0.25">
      <c r="B1030" s="1005" t="s">
        <v>923</v>
      </c>
      <c r="C1030" s="1100" t="s">
        <v>2522</v>
      </c>
      <c r="D1030" s="1025" t="s">
        <v>40</v>
      </c>
      <c r="E1030" s="1001"/>
      <c r="F1030" s="1001">
        <v>12</v>
      </c>
      <c r="G1030" s="1001">
        <v>3000</v>
      </c>
      <c r="H1030" s="1001">
        <v>12</v>
      </c>
      <c r="I1030" s="1001">
        <v>3500</v>
      </c>
      <c r="J1030" s="1001">
        <v>12</v>
      </c>
      <c r="K1030" s="1001">
        <v>3500</v>
      </c>
      <c r="L1030" s="1001">
        <v>12</v>
      </c>
      <c r="M1030" s="1001">
        <v>4000</v>
      </c>
      <c r="N1030" s="1001">
        <v>12</v>
      </c>
      <c r="O1030" s="1001">
        <v>5000</v>
      </c>
      <c r="P1030" s="1001">
        <v>12</v>
      </c>
      <c r="Q1030" s="1001">
        <v>6000</v>
      </c>
      <c r="R1030" s="1001"/>
      <c r="S1030" s="1004"/>
      <c r="T1030" s="1004"/>
    </row>
    <row r="1031" spans="2:20" s="1003" customFormat="1" ht="38.25" x14ac:dyDescent="0.25">
      <c r="B1031" s="1005" t="s">
        <v>50</v>
      </c>
      <c r="C1031" s="1100" t="s">
        <v>2523</v>
      </c>
      <c r="D1031" s="1025" t="s">
        <v>40</v>
      </c>
      <c r="E1031" s="1001"/>
      <c r="F1031" s="1001">
        <v>12</v>
      </c>
      <c r="G1031" s="1001">
        <v>5000</v>
      </c>
      <c r="H1031" s="1001">
        <v>12</v>
      </c>
      <c r="I1031" s="1001">
        <v>6000</v>
      </c>
      <c r="J1031" s="1001">
        <v>12</v>
      </c>
      <c r="K1031" s="1001">
        <v>7500</v>
      </c>
      <c r="L1031" s="1001">
        <v>12</v>
      </c>
      <c r="M1031" s="1001">
        <v>8000</v>
      </c>
      <c r="N1031" s="1001">
        <v>12</v>
      </c>
      <c r="O1031" s="1001">
        <v>8500</v>
      </c>
      <c r="P1031" s="1001">
        <v>12</v>
      </c>
      <c r="Q1031" s="1001">
        <v>9000</v>
      </c>
      <c r="R1031" s="1001"/>
      <c r="S1031" s="1004"/>
      <c r="T1031" s="1004"/>
    </row>
    <row r="1032" spans="2:20" s="1003" customFormat="1" ht="51" x14ac:dyDescent="0.25">
      <c r="B1032" s="1005" t="s">
        <v>52</v>
      </c>
      <c r="C1032" s="1100" t="s">
        <v>2524</v>
      </c>
      <c r="D1032" s="1025" t="s">
        <v>40</v>
      </c>
      <c r="E1032" s="1001"/>
      <c r="F1032" s="1001">
        <v>12</v>
      </c>
      <c r="G1032" s="1001">
        <v>3500</v>
      </c>
      <c r="H1032" s="1001">
        <v>12</v>
      </c>
      <c r="I1032" s="1001">
        <v>4500</v>
      </c>
      <c r="J1032" s="1001">
        <v>12</v>
      </c>
      <c r="K1032" s="1001">
        <v>4700</v>
      </c>
      <c r="L1032" s="1001">
        <v>12</v>
      </c>
      <c r="M1032" s="1001">
        <v>5000</v>
      </c>
      <c r="N1032" s="1001">
        <v>12</v>
      </c>
      <c r="O1032" s="1001">
        <v>5200</v>
      </c>
      <c r="P1032" s="1001">
        <v>12</v>
      </c>
      <c r="Q1032" s="1001">
        <v>5200</v>
      </c>
      <c r="R1032" s="1001"/>
      <c r="S1032" s="1004"/>
      <c r="T1032" s="1004"/>
    </row>
    <row r="1033" spans="2:20" s="1003" customFormat="1" ht="76.5" x14ac:dyDescent="0.25">
      <c r="B1033" s="1005" t="s">
        <v>782</v>
      </c>
      <c r="C1033" s="1100" t="s">
        <v>2525</v>
      </c>
      <c r="D1033" s="1025" t="s">
        <v>40</v>
      </c>
      <c r="E1033" s="1001"/>
      <c r="F1033" s="1001">
        <v>12</v>
      </c>
      <c r="G1033" s="1001">
        <v>2200</v>
      </c>
      <c r="H1033" s="1001">
        <v>12</v>
      </c>
      <c r="I1033" s="1001">
        <v>2300</v>
      </c>
      <c r="J1033" s="1001">
        <v>12</v>
      </c>
      <c r="K1033" s="1001">
        <v>2400</v>
      </c>
      <c r="L1033" s="1001">
        <v>12</v>
      </c>
      <c r="M1033" s="1001">
        <v>2500</v>
      </c>
      <c r="N1033" s="1001">
        <v>12</v>
      </c>
      <c r="O1033" s="1001">
        <v>2500</v>
      </c>
      <c r="P1033" s="1001">
        <v>12</v>
      </c>
      <c r="Q1033" s="1001">
        <v>2700</v>
      </c>
      <c r="R1033" s="1001"/>
      <c r="S1033" s="1004"/>
      <c r="T1033" s="1004"/>
    </row>
    <row r="1034" spans="2:20" s="1003" customFormat="1" ht="63.75" x14ac:dyDescent="0.25">
      <c r="B1034" s="1005" t="s">
        <v>3232</v>
      </c>
      <c r="C1034" s="1100" t="s">
        <v>2526</v>
      </c>
      <c r="D1034" s="1025" t="s">
        <v>40</v>
      </c>
      <c r="E1034" s="1001"/>
      <c r="F1034" s="1001">
        <v>12</v>
      </c>
      <c r="G1034" s="1001">
        <v>1100</v>
      </c>
      <c r="H1034" s="1001">
        <v>12</v>
      </c>
      <c r="I1034" s="1001">
        <v>1500</v>
      </c>
      <c r="J1034" s="1001">
        <v>12</v>
      </c>
      <c r="K1034" s="1001">
        <v>1600</v>
      </c>
      <c r="L1034" s="1001">
        <v>12</v>
      </c>
      <c r="M1034" s="1001">
        <v>1800</v>
      </c>
      <c r="N1034" s="1001">
        <v>12</v>
      </c>
      <c r="O1034" s="1001">
        <v>2000</v>
      </c>
      <c r="P1034" s="1001">
        <v>12</v>
      </c>
      <c r="Q1034" s="1001">
        <v>2200</v>
      </c>
      <c r="R1034" s="1001"/>
      <c r="S1034" s="1004"/>
      <c r="T1034" s="1004"/>
    </row>
    <row r="1035" spans="2:20" s="1003" customFormat="1" ht="38.25" x14ac:dyDescent="0.25">
      <c r="B1035" s="1005" t="s">
        <v>58</v>
      </c>
      <c r="C1035" s="1100" t="s">
        <v>2527</v>
      </c>
      <c r="D1035" s="1025" t="s">
        <v>40</v>
      </c>
      <c r="E1035" s="1001"/>
      <c r="F1035" s="1001">
        <v>12</v>
      </c>
      <c r="G1035" s="1001">
        <v>7000</v>
      </c>
      <c r="H1035" s="1001">
        <v>12</v>
      </c>
      <c r="I1035" s="1001">
        <v>7000</v>
      </c>
      <c r="J1035" s="1001">
        <v>12</v>
      </c>
      <c r="K1035" s="1001">
        <v>8000</v>
      </c>
      <c r="L1035" s="1001">
        <v>12</v>
      </c>
      <c r="M1035" s="1001">
        <v>9000</v>
      </c>
      <c r="N1035" s="1001">
        <v>12</v>
      </c>
      <c r="O1035" s="1001">
        <v>10000</v>
      </c>
      <c r="P1035" s="1001">
        <v>12</v>
      </c>
      <c r="Q1035" s="1001">
        <v>12000</v>
      </c>
      <c r="R1035" s="1001"/>
      <c r="S1035" s="1004"/>
      <c r="T1035" s="1004"/>
    </row>
    <row r="1036" spans="2:20" s="1003" customFormat="1" ht="51" x14ac:dyDescent="0.25">
      <c r="B1036" s="1005" t="s">
        <v>3233</v>
      </c>
      <c r="C1036" s="1100" t="s">
        <v>2529</v>
      </c>
      <c r="D1036" s="1025" t="s">
        <v>40</v>
      </c>
      <c r="E1036" s="1001"/>
      <c r="F1036" s="1001">
        <v>12</v>
      </c>
      <c r="G1036" s="1001">
        <v>15000</v>
      </c>
      <c r="H1036" s="1001">
        <v>12</v>
      </c>
      <c r="I1036" s="1001">
        <v>16500</v>
      </c>
      <c r="J1036" s="1001">
        <v>12</v>
      </c>
      <c r="K1036" s="1001">
        <v>18500</v>
      </c>
      <c r="L1036" s="1001">
        <v>12</v>
      </c>
      <c r="M1036" s="1001">
        <v>20000</v>
      </c>
      <c r="N1036" s="1001">
        <v>12</v>
      </c>
      <c r="O1036" s="1001">
        <v>22000</v>
      </c>
      <c r="P1036" s="1001">
        <v>12</v>
      </c>
      <c r="Q1036" s="1001">
        <v>25000</v>
      </c>
      <c r="R1036" s="1001"/>
      <c r="S1036" s="1004"/>
      <c r="T1036" s="1004"/>
    </row>
    <row r="1037" spans="2:20" s="1003" customFormat="1" ht="51" x14ac:dyDescent="0.25">
      <c r="B1037" s="1102" t="s">
        <v>137</v>
      </c>
      <c r="C1037" s="1100" t="s">
        <v>2528</v>
      </c>
      <c r="D1037" s="1025" t="s">
        <v>40</v>
      </c>
      <c r="E1037" s="1001"/>
      <c r="F1037" s="1001">
        <v>12</v>
      </c>
      <c r="G1037" s="1001">
        <v>1500</v>
      </c>
      <c r="H1037" s="1001">
        <v>12</v>
      </c>
      <c r="I1037" s="1001">
        <v>2500</v>
      </c>
      <c r="J1037" s="1001">
        <v>12</v>
      </c>
      <c r="K1037" s="1001">
        <v>3000</v>
      </c>
      <c r="L1037" s="1001">
        <v>12</v>
      </c>
      <c r="M1037" s="1001">
        <v>3000</v>
      </c>
      <c r="N1037" s="1001">
        <v>12</v>
      </c>
      <c r="O1037" s="1001">
        <v>3500</v>
      </c>
      <c r="P1037" s="1001">
        <v>12</v>
      </c>
      <c r="Q1037" s="1001">
        <v>3500</v>
      </c>
      <c r="R1037" s="1001"/>
      <c r="S1037" s="1004"/>
      <c r="T1037" s="1004"/>
    </row>
    <row r="1038" spans="2:20" s="1003" customFormat="1" ht="38.25" customHeight="1" x14ac:dyDescent="0.25">
      <c r="B1038" s="1061" t="s">
        <v>65</v>
      </c>
      <c r="C1038" s="999" t="s">
        <v>3234</v>
      </c>
      <c r="D1038" s="1015" t="s">
        <v>19</v>
      </c>
      <c r="E1038" s="1001">
        <v>70</v>
      </c>
      <c r="F1038" s="1001">
        <v>3</v>
      </c>
      <c r="G1038" s="2114">
        <f>SUM(G1040:G1046)</f>
        <v>31000</v>
      </c>
      <c r="H1038" s="1001">
        <v>2</v>
      </c>
      <c r="I1038" s="2114">
        <f>SUM(I1040:I1046)</f>
        <v>23000</v>
      </c>
      <c r="J1038" s="1001">
        <v>3</v>
      </c>
      <c r="K1038" s="2114">
        <f>SUM(K1040:K1046)</f>
        <v>77000</v>
      </c>
      <c r="L1038" s="1001">
        <v>2</v>
      </c>
      <c r="M1038" s="2114">
        <f>SUM(M1040:M1046)</f>
        <v>52500</v>
      </c>
      <c r="N1038" s="1001">
        <v>3</v>
      </c>
      <c r="O1038" s="2114">
        <f>SUM(O1040:O1046)</f>
        <v>58000</v>
      </c>
      <c r="P1038" s="1001">
        <v>2</v>
      </c>
      <c r="Q1038" s="2114">
        <f>SUM(Q1040:Q1046)</f>
        <v>24000</v>
      </c>
      <c r="R1038" s="1001">
        <f>E1038+F1038+H1038+J1038+L1038+N1038</f>
        <v>83</v>
      </c>
      <c r="S1038" s="1004"/>
      <c r="T1038" s="1004"/>
    </row>
    <row r="1039" spans="2:20" s="1003" customFormat="1" ht="38.25" x14ac:dyDescent="0.25">
      <c r="B1039" s="1067"/>
      <c r="C1039" s="999" t="s">
        <v>3235</v>
      </c>
      <c r="D1039" s="1015" t="s">
        <v>19</v>
      </c>
      <c r="E1039" s="1001">
        <v>100</v>
      </c>
      <c r="F1039" s="1001">
        <v>100</v>
      </c>
      <c r="G1039" s="2114"/>
      <c r="H1039" s="1001">
        <v>100</v>
      </c>
      <c r="I1039" s="2114"/>
      <c r="J1039" s="1001">
        <v>100</v>
      </c>
      <c r="K1039" s="2114"/>
      <c r="L1039" s="1001">
        <v>100</v>
      </c>
      <c r="M1039" s="2114"/>
      <c r="N1039" s="1001">
        <v>100</v>
      </c>
      <c r="O1039" s="2114"/>
      <c r="P1039" s="1001">
        <v>100</v>
      </c>
      <c r="Q1039" s="2114"/>
      <c r="R1039" s="1001">
        <v>100</v>
      </c>
      <c r="S1039" s="1004"/>
      <c r="T1039" s="1004"/>
    </row>
    <row r="1040" spans="2:20" s="1003" customFormat="1" x14ac:dyDescent="0.25">
      <c r="B1040" s="1007"/>
      <c r="C1040" s="999"/>
      <c r="D1040" s="1015"/>
      <c r="E1040" s="1001"/>
      <c r="F1040" s="1001">
        <v>0</v>
      </c>
      <c r="G1040" s="1001">
        <v>0</v>
      </c>
      <c r="H1040" s="1001">
        <v>0</v>
      </c>
      <c r="I1040" s="1001"/>
      <c r="J1040" s="1001">
        <v>2</v>
      </c>
      <c r="K1040" s="1001"/>
      <c r="L1040" s="1001">
        <v>2</v>
      </c>
      <c r="M1040" s="1001"/>
      <c r="N1040" s="1001">
        <v>2</v>
      </c>
      <c r="O1040" s="1001"/>
      <c r="P1040" s="1001">
        <v>2</v>
      </c>
      <c r="Q1040" s="1001"/>
      <c r="R1040" s="1001"/>
      <c r="S1040" s="1004"/>
      <c r="T1040" s="1004"/>
    </row>
    <row r="1041" spans="2:20" s="1003" customFormat="1" ht="25.5" x14ac:dyDescent="0.25">
      <c r="B1041" s="998" t="s">
        <v>3236</v>
      </c>
      <c r="C1041" s="1000" t="s">
        <v>3573</v>
      </c>
      <c r="D1041" s="1025" t="s">
        <v>106</v>
      </c>
      <c r="E1041" s="1001"/>
      <c r="F1041" s="1001">
        <v>1</v>
      </c>
      <c r="G1041" s="1001">
        <v>1475</v>
      </c>
      <c r="H1041" s="1001">
        <v>0</v>
      </c>
      <c r="I1041" s="1001">
        <v>16000</v>
      </c>
      <c r="J1041" s="1001">
        <v>0</v>
      </c>
      <c r="K1041" s="1001">
        <v>17000</v>
      </c>
      <c r="L1041" s="1001">
        <v>0</v>
      </c>
      <c r="M1041" s="1001">
        <v>17500</v>
      </c>
      <c r="N1041" s="1001">
        <v>0</v>
      </c>
      <c r="O1041" s="1001">
        <v>17500</v>
      </c>
      <c r="P1041" s="1001">
        <v>0</v>
      </c>
      <c r="Q1041" s="1001">
        <v>0</v>
      </c>
      <c r="R1041" s="1001"/>
      <c r="S1041" s="1004"/>
      <c r="T1041" s="1004"/>
    </row>
    <row r="1042" spans="2:20" s="1003" customFormat="1" ht="38.25" x14ac:dyDescent="0.25">
      <c r="B1042" s="998" t="s">
        <v>3236</v>
      </c>
      <c r="C1042" s="1037" t="s">
        <v>3574</v>
      </c>
      <c r="D1042" s="1025" t="s">
        <v>106</v>
      </c>
      <c r="E1042" s="1001"/>
      <c r="F1042" s="1001">
        <v>2</v>
      </c>
      <c r="G1042" s="1001">
        <v>5525</v>
      </c>
      <c r="H1042" s="1001">
        <v>1</v>
      </c>
      <c r="I1042" s="1001">
        <v>7000</v>
      </c>
      <c r="J1042" s="1001">
        <v>4</v>
      </c>
      <c r="K1042" s="1001">
        <v>12000</v>
      </c>
      <c r="L1042" s="1001">
        <v>5</v>
      </c>
      <c r="M1042" s="1001">
        <v>16000</v>
      </c>
      <c r="N1042" s="1001">
        <v>4</v>
      </c>
      <c r="O1042" s="1001">
        <v>20000</v>
      </c>
      <c r="P1042" s="1001">
        <v>0</v>
      </c>
      <c r="Q1042" s="1001">
        <v>0</v>
      </c>
      <c r="R1042" s="1001"/>
      <c r="S1042" s="1004"/>
      <c r="T1042" s="1004"/>
    </row>
    <row r="1043" spans="2:20" s="1003" customFormat="1" ht="38.25" x14ac:dyDescent="0.25">
      <c r="B1043" s="998" t="s">
        <v>3238</v>
      </c>
      <c r="C1043" s="1000" t="s">
        <v>3575</v>
      </c>
      <c r="D1043" s="1025" t="s">
        <v>75</v>
      </c>
      <c r="E1043" s="1001"/>
      <c r="F1043" s="1001"/>
      <c r="G1043" s="1001"/>
      <c r="H1043" s="1001"/>
      <c r="I1043" s="1001"/>
      <c r="J1043" s="1001">
        <v>1</v>
      </c>
      <c r="K1043" s="1001">
        <v>15000</v>
      </c>
      <c r="L1043" s="1001"/>
      <c r="M1043" s="1001"/>
      <c r="N1043" s="1001">
        <v>0</v>
      </c>
      <c r="O1043" s="1001">
        <v>0</v>
      </c>
      <c r="P1043" s="1001">
        <v>0</v>
      </c>
      <c r="Q1043" s="1001">
        <v>0</v>
      </c>
      <c r="R1043" s="1001"/>
      <c r="S1043" s="1004"/>
      <c r="T1043" s="1004"/>
    </row>
    <row r="1044" spans="2:20" s="1003" customFormat="1" ht="38.25" x14ac:dyDescent="0.25">
      <c r="B1044" s="1007" t="s">
        <v>3240</v>
      </c>
      <c r="C1044" s="999" t="s">
        <v>3241</v>
      </c>
      <c r="D1044" s="1015" t="s">
        <v>40</v>
      </c>
      <c r="E1044" s="1001"/>
      <c r="F1044" s="1001">
        <v>12</v>
      </c>
      <c r="G1044" s="1001">
        <v>14000</v>
      </c>
      <c r="H1044" s="1001"/>
      <c r="I1044" s="1001"/>
      <c r="J1044" s="1001">
        <v>12</v>
      </c>
      <c r="K1044" s="1001">
        <v>6000</v>
      </c>
      <c r="L1044" s="1001">
        <v>12</v>
      </c>
      <c r="M1044" s="1001">
        <v>4500</v>
      </c>
      <c r="N1044" s="1001">
        <v>12</v>
      </c>
      <c r="O1044" s="1001">
        <v>4500</v>
      </c>
      <c r="P1044" s="1001">
        <v>12</v>
      </c>
      <c r="Q1044" s="1001">
        <v>5000</v>
      </c>
      <c r="R1044" s="1001"/>
      <c r="S1044" s="1004"/>
      <c r="T1044" s="1004"/>
    </row>
    <row r="1045" spans="2:20" s="1003" customFormat="1" ht="38.25" x14ac:dyDescent="0.25">
      <c r="B1045" s="1007" t="s">
        <v>3242</v>
      </c>
      <c r="C1045" s="999" t="s">
        <v>3160</v>
      </c>
      <c r="D1045" s="1015" t="s">
        <v>40</v>
      </c>
      <c r="E1045" s="1001"/>
      <c r="F1045" s="1001">
        <v>12</v>
      </c>
      <c r="G1045" s="1001">
        <v>10000</v>
      </c>
      <c r="H1045" s="1001"/>
      <c r="I1045" s="1001"/>
      <c r="J1045" s="1001">
        <v>12</v>
      </c>
      <c r="K1045" s="1001">
        <v>20000</v>
      </c>
      <c r="L1045" s="1001">
        <v>12</v>
      </c>
      <c r="M1045" s="1001">
        <v>10000</v>
      </c>
      <c r="N1045" s="1001">
        <v>12</v>
      </c>
      <c r="O1045" s="1001">
        <v>11000</v>
      </c>
      <c r="P1045" s="1001">
        <v>12</v>
      </c>
      <c r="Q1045" s="1001">
        <v>12000</v>
      </c>
      <c r="R1045" s="1001"/>
      <c r="S1045" s="1004"/>
      <c r="T1045" s="1004"/>
    </row>
    <row r="1046" spans="2:20" s="1003" customFormat="1" ht="38.25" x14ac:dyDescent="0.25">
      <c r="B1046" s="1007" t="s">
        <v>3576</v>
      </c>
      <c r="C1046" s="999" t="s">
        <v>3577</v>
      </c>
      <c r="D1046" s="1015" t="s">
        <v>40</v>
      </c>
      <c r="E1046" s="1001"/>
      <c r="F1046" s="1001"/>
      <c r="G1046" s="1001"/>
      <c r="H1046" s="1001"/>
      <c r="I1046" s="1001"/>
      <c r="J1046" s="1001">
        <v>12</v>
      </c>
      <c r="K1046" s="1001">
        <v>7000</v>
      </c>
      <c r="L1046" s="1001">
        <v>12</v>
      </c>
      <c r="M1046" s="1001">
        <v>4500</v>
      </c>
      <c r="N1046" s="1001">
        <v>12</v>
      </c>
      <c r="O1046" s="1001">
        <v>5000</v>
      </c>
      <c r="P1046" s="1001">
        <v>12</v>
      </c>
      <c r="Q1046" s="1001">
        <v>7000</v>
      </c>
      <c r="R1046" s="1001"/>
      <c r="S1046" s="1004"/>
      <c r="T1046" s="1004"/>
    </row>
    <row r="1047" spans="2:20" s="1003" customFormat="1" ht="63.75" x14ac:dyDescent="0.25">
      <c r="B1047" s="1106" t="s">
        <v>3245</v>
      </c>
      <c r="C1047" s="1000" t="s">
        <v>3246</v>
      </c>
      <c r="D1047" s="1025" t="s">
        <v>79</v>
      </c>
      <c r="E1047" s="1001">
        <v>10</v>
      </c>
      <c r="F1047" s="1001">
        <f>F1048</f>
        <v>2</v>
      </c>
      <c r="G1047" s="1001">
        <f>G1048</f>
        <v>3000</v>
      </c>
      <c r="H1047" s="1001">
        <f t="shared" ref="H1047:Q1047" si="98">H1048</f>
        <v>2</v>
      </c>
      <c r="I1047" s="1001">
        <f t="shared" si="98"/>
        <v>3500</v>
      </c>
      <c r="J1047" s="1001">
        <f t="shared" si="98"/>
        <v>2</v>
      </c>
      <c r="K1047" s="1001">
        <f t="shared" si="98"/>
        <v>3800</v>
      </c>
      <c r="L1047" s="1001">
        <f t="shared" si="98"/>
        <v>2</v>
      </c>
      <c r="M1047" s="1001">
        <f t="shared" si="98"/>
        <v>4100</v>
      </c>
      <c r="N1047" s="1001">
        <f t="shared" si="98"/>
        <v>2</v>
      </c>
      <c r="O1047" s="1001">
        <f t="shared" si="98"/>
        <v>4400</v>
      </c>
      <c r="P1047" s="1001">
        <f t="shared" si="98"/>
        <v>2</v>
      </c>
      <c r="Q1047" s="1001">
        <f t="shared" si="98"/>
        <v>4700</v>
      </c>
      <c r="R1047" s="1001">
        <f>E1047+F1047+H1047+J1047+L1047+N1047</f>
        <v>20</v>
      </c>
      <c r="S1047" s="1004"/>
      <c r="T1047" s="1004"/>
    </row>
    <row r="1048" spans="2:20" s="1003" customFormat="1" ht="102" x14ac:dyDescent="0.25">
      <c r="B1048" s="998" t="s">
        <v>80</v>
      </c>
      <c r="C1048" s="1000" t="s">
        <v>3247</v>
      </c>
      <c r="D1048" s="1025" t="s">
        <v>79</v>
      </c>
      <c r="E1048" s="1001"/>
      <c r="F1048" s="1001">
        <v>2</v>
      </c>
      <c r="G1048" s="1001">
        <v>3000</v>
      </c>
      <c r="H1048" s="1001">
        <v>2</v>
      </c>
      <c r="I1048" s="1001">
        <v>3500</v>
      </c>
      <c r="J1048" s="1001">
        <v>2</v>
      </c>
      <c r="K1048" s="1001">
        <v>3800</v>
      </c>
      <c r="L1048" s="1001">
        <v>2</v>
      </c>
      <c r="M1048" s="1001">
        <v>4100</v>
      </c>
      <c r="N1048" s="1001">
        <v>2</v>
      </c>
      <c r="O1048" s="1001">
        <v>4400</v>
      </c>
      <c r="P1048" s="1001">
        <v>2</v>
      </c>
      <c r="Q1048" s="1001">
        <v>4700</v>
      </c>
      <c r="R1048" s="1001"/>
      <c r="S1048" s="1004"/>
      <c r="T1048" s="1004"/>
    </row>
    <row r="1049" spans="2:20" s="1003" customFormat="1" ht="48" x14ac:dyDescent="0.25">
      <c r="B1049" s="1106" t="s">
        <v>3248</v>
      </c>
      <c r="C1049" s="1000" t="s">
        <v>3249</v>
      </c>
      <c r="D1049" s="1025" t="s">
        <v>79</v>
      </c>
      <c r="E1049" s="1001">
        <v>5</v>
      </c>
      <c r="F1049" s="1001">
        <v>1</v>
      </c>
      <c r="G1049" s="1001">
        <f>G1050</f>
        <v>5600</v>
      </c>
      <c r="H1049" s="1001">
        <f t="shared" ref="H1049:Q1049" si="99">H1050</f>
        <v>1</v>
      </c>
      <c r="I1049" s="1001"/>
      <c r="J1049" s="1001">
        <f t="shared" si="99"/>
        <v>2</v>
      </c>
      <c r="K1049" s="1001">
        <f t="shared" si="99"/>
        <v>6500</v>
      </c>
      <c r="L1049" s="1001">
        <f t="shared" si="99"/>
        <v>2</v>
      </c>
      <c r="M1049" s="1001">
        <f t="shared" si="99"/>
        <v>7000</v>
      </c>
      <c r="N1049" s="1001">
        <f t="shared" si="99"/>
        <v>2</v>
      </c>
      <c r="O1049" s="1001">
        <f t="shared" si="99"/>
        <v>7500</v>
      </c>
      <c r="P1049" s="1001">
        <f t="shared" si="99"/>
        <v>2</v>
      </c>
      <c r="Q1049" s="1001">
        <f t="shared" si="99"/>
        <v>8000</v>
      </c>
      <c r="R1049" s="1001">
        <f>E1049+F1049+H1049+J1049+L1049+N1049</f>
        <v>13</v>
      </c>
      <c r="S1049" s="1004"/>
      <c r="T1049" s="1004"/>
    </row>
    <row r="1050" spans="2:20" s="1003" customFormat="1" ht="63.75" x14ac:dyDescent="0.25">
      <c r="B1050" s="998" t="s">
        <v>1712</v>
      </c>
      <c r="C1050" s="1000" t="s">
        <v>3250</v>
      </c>
      <c r="D1050" s="1025"/>
      <c r="E1050" s="1001"/>
      <c r="F1050" s="1001">
        <v>1</v>
      </c>
      <c r="G1050" s="1001">
        <v>5600</v>
      </c>
      <c r="H1050" s="1001">
        <v>1</v>
      </c>
      <c r="I1050" s="1001">
        <v>6300</v>
      </c>
      <c r="J1050" s="1001">
        <v>2</v>
      </c>
      <c r="K1050" s="1001">
        <v>6500</v>
      </c>
      <c r="L1050" s="1001">
        <v>2</v>
      </c>
      <c r="M1050" s="1001">
        <v>7000</v>
      </c>
      <c r="N1050" s="1001">
        <v>2</v>
      </c>
      <c r="O1050" s="1001">
        <v>7500</v>
      </c>
      <c r="P1050" s="1001">
        <v>2</v>
      </c>
      <c r="Q1050" s="1001">
        <v>8000</v>
      </c>
      <c r="R1050" s="1001"/>
      <c r="S1050" s="1004"/>
      <c r="T1050" s="1004"/>
    </row>
    <row r="1051" spans="2:20" s="1003" customFormat="1" ht="63.75" customHeight="1" x14ac:dyDescent="0.25">
      <c r="B1051" s="1065" t="s">
        <v>3251</v>
      </c>
      <c r="C1051" s="1000" t="s">
        <v>3252</v>
      </c>
      <c r="D1051" s="1025" t="s">
        <v>79</v>
      </c>
      <c r="E1051" s="1001">
        <v>5</v>
      </c>
      <c r="F1051" s="1001">
        <v>1</v>
      </c>
      <c r="G1051" s="2114">
        <f>SUM(G1053:G1053)</f>
        <v>14000</v>
      </c>
      <c r="H1051" s="1001">
        <v>1</v>
      </c>
      <c r="I1051" s="2114">
        <f>SUM(I1053:I1053)</f>
        <v>14000</v>
      </c>
      <c r="J1051" s="1001">
        <v>1</v>
      </c>
      <c r="K1051" s="2114">
        <f>SUM(K1053:K1053)</f>
        <v>17000</v>
      </c>
      <c r="L1051" s="1001">
        <v>1</v>
      </c>
      <c r="M1051" s="2114">
        <f>SUM(M1053:M1053)</f>
        <v>18000</v>
      </c>
      <c r="N1051" s="1001">
        <v>1</v>
      </c>
      <c r="O1051" s="2114">
        <f>SUM(O1053:O1053)</f>
        <v>20000</v>
      </c>
      <c r="P1051" s="1001">
        <v>1</v>
      </c>
      <c r="Q1051" s="2114">
        <f>SUM(Q1053:Q1053)</f>
        <v>22000</v>
      </c>
      <c r="R1051" s="1001">
        <f>E1051+F1051+H1051+J1051+L1051+N1051</f>
        <v>10</v>
      </c>
      <c r="S1051" s="1004"/>
      <c r="T1051" s="1004"/>
    </row>
    <row r="1052" spans="2:20" s="1003" customFormat="1" ht="38.25" x14ac:dyDescent="0.25">
      <c r="B1052" s="1066"/>
      <c r="C1052" s="1000" t="s">
        <v>3253</v>
      </c>
      <c r="D1052" s="1025" t="s">
        <v>79</v>
      </c>
      <c r="E1052" s="1001">
        <v>5</v>
      </c>
      <c r="F1052" s="1001">
        <v>1</v>
      </c>
      <c r="G1052" s="2114"/>
      <c r="H1052" s="1001">
        <v>1</v>
      </c>
      <c r="I1052" s="2114"/>
      <c r="J1052" s="1001">
        <v>1</v>
      </c>
      <c r="K1052" s="2114"/>
      <c r="L1052" s="1001">
        <v>1</v>
      </c>
      <c r="M1052" s="2114"/>
      <c r="N1052" s="1001">
        <v>1</v>
      </c>
      <c r="O1052" s="2114"/>
      <c r="P1052" s="1001">
        <v>1</v>
      </c>
      <c r="Q1052" s="2114"/>
      <c r="R1052" s="1001">
        <f>E1052+F1052+H1052+J1052+L1052+N1052</f>
        <v>10</v>
      </c>
      <c r="S1052" s="1004"/>
      <c r="T1052" s="1004"/>
    </row>
    <row r="1053" spans="2:20" s="1003" customFormat="1" ht="38.25" x14ac:dyDescent="0.25">
      <c r="B1053" s="998" t="s">
        <v>3254</v>
      </c>
      <c r="C1053" s="1000" t="s">
        <v>3255</v>
      </c>
      <c r="D1053" s="1025" t="s">
        <v>103</v>
      </c>
      <c r="E1053" s="1001"/>
      <c r="F1053" s="1001">
        <v>1</v>
      </c>
      <c r="G1053" s="1001">
        <v>14000</v>
      </c>
      <c r="H1053" s="1001">
        <v>1</v>
      </c>
      <c r="I1053" s="1001">
        <v>14000</v>
      </c>
      <c r="J1053" s="1001">
        <v>1</v>
      </c>
      <c r="K1053" s="1001">
        <v>17000</v>
      </c>
      <c r="L1053" s="1001">
        <v>1</v>
      </c>
      <c r="M1053" s="1001">
        <v>18000</v>
      </c>
      <c r="N1053" s="1001">
        <v>1</v>
      </c>
      <c r="O1053" s="1001">
        <v>20000</v>
      </c>
      <c r="P1053" s="1001">
        <v>1</v>
      </c>
      <c r="Q1053" s="1001">
        <v>22000</v>
      </c>
      <c r="R1053" s="1001"/>
      <c r="S1053" s="1004"/>
      <c r="T1053" s="1004"/>
    </row>
    <row r="1054" spans="2:20" s="1003" customFormat="1" ht="51" x14ac:dyDescent="0.25">
      <c r="B1054" s="1106" t="s">
        <v>3420</v>
      </c>
      <c r="C1054" s="1000" t="s">
        <v>3386</v>
      </c>
      <c r="D1054" s="1025" t="s">
        <v>19</v>
      </c>
      <c r="E1054" s="1001">
        <v>100</v>
      </c>
      <c r="F1054" s="1001">
        <v>100</v>
      </c>
      <c r="G1054" s="1001">
        <f>G1055</f>
        <v>48000</v>
      </c>
      <c r="H1054" s="1001">
        <v>100</v>
      </c>
      <c r="I1054" s="1001">
        <f>I1055</f>
        <v>51000</v>
      </c>
      <c r="J1054" s="1001">
        <v>100</v>
      </c>
      <c r="K1054" s="1001">
        <v>53000</v>
      </c>
      <c r="L1054" s="1001">
        <v>100</v>
      </c>
      <c r="M1054" s="1001">
        <v>55000</v>
      </c>
      <c r="N1054" s="1001">
        <v>100</v>
      </c>
      <c r="O1054" s="1001">
        <v>57000</v>
      </c>
      <c r="P1054" s="1001">
        <v>100</v>
      </c>
      <c r="Q1054" s="1001">
        <v>67000</v>
      </c>
      <c r="R1054" s="1001">
        <v>100</v>
      </c>
      <c r="S1054" s="1004"/>
      <c r="T1054" s="1004"/>
    </row>
    <row r="1055" spans="2:20" s="1003" customFormat="1" ht="25.5" x14ac:dyDescent="0.25">
      <c r="B1055" s="998" t="s">
        <v>3421</v>
      </c>
      <c r="C1055" s="1000" t="s">
        <v>3422</v>
      </c>
      <c r="D1055" s="1025" t="s">
        <v>40</v>
      </c>
      <c r="E1055" s="1001"/>
      <c r="F1055" s="1001">
        <v>12</v>
      </c>
      <c r="G1055" s="1001">
        <v>48000</v>
      </c>
      <c r="H1055" s="1001">
        <v>12</v>
      </c>
      <c r="I1055" s="1001">
        <v>51000</v>
      </c>
      <c r="J1055" s="1001">
        <v>12</v>
      </c>
      <c r="K1055" s="1001">
        <v>53000</v>
      </c>
      <c r="L1055" s="1001">
        <v>12</v>
      </c>
      <c r="M1055" s="1001">
        <v>55000</v>
      </c>
      <c r="N1055" s="1001">
        <v>12</v>
      </c>
      <c r="O1055" s="1001">
        <v>57000</v>
      </c>
      <c r="P1055" s="1001">
        <v>12</v>
      </c>
      <c r="Q1055" s="1001">
        <v>67000</v>
      </c>
      <c r="R1055" s="1001"/>
      <c r="S1055" s="1004"/>
      <c r="T1055" s="1004"/>
    </row>
    <row r="1056" spans="2:20" s="1003" customFormat="1" ht="84" x14ac:dyDescent="0.25">
      <c r="B1056" s="1106" t="s">
        <v>1743</v>
      </c>
      <c r="C1056" s="1000" t="s">
        <v>3265</v>
      </c>
      <c r="D1056" s="1025" t="s">
        <v>19</v>
      </c>
      <c r="E1056" s="1001">
        <v>50</v>
      </c>
      <c r="F1056" s="1001">
        <v>60</v>
      </c>
      <c r="G1056" s="1001">
        <f>SUM(G1057:G1059)</f>
        <v>21000</v>
      </c>
      <c r="H1056" s="1001">
        <v>70</v>
      </c>
      <c r="I1056" s="1001">
        <f>SUM(I1057:I1059)</f>
        <v>27500</v>
      </c>
      <c r="J1056" s="1001">
        <v>80</v>
      </c>
      <c r="K1056" s="1001">
        <f>SUM(K1057:K1059)</f>
        <v>30000</v>
      </c>
      <c r="L1056" s="1001">
        <v>90</v>
      </c>
      <c r="M1056" s="1001">
        <f>SUM(M1057:M1059)</f>
        <v>32500</v>
      </c>
      <c r="N1056" s="1001">
        <v>100</v>
      </c>
      <c r="O1056" s="1001">
        <f>SUM(O1057:O1059)</f>
        <v>35000</v>
      </c>
      <c r="P1056" s="1001">
        <v>100</v>
      </c>
      <c r="Q1056" s="1001">
        <f>SUM(Q1057:Q1059)</f>
        <v>37000</v>
      </c>
      <c r="R1056" s="1001">
        <v>100</v>
      </c>
      <c r="S1056" s="1004"/>
      <c r="T1056" s="1004"/>
    </row>
    <row r="1057" spans="2:20" s="1003" customFormat="1" ht="25.5" x14ac:dyDescent="0.25">
      <c r="B1057" s="998" t="s">
        <v>3266</v>
      </c>
      <c r="C1057" s="1000" t="s">
        <v>3267</v>
      </c>
      <c r="D1057" s="1025" t="s">
        <v>103</v>
      </c>
      <c r="E1057" s="1001"/>
      <c r="F1057" s="1001">
        <v>16</v>
      </c>
      <c r="G1057" s="1001">
        <v>14000</v>
      </c>
      <c r="H1057" s="1001">
        <v>16</v>
      </c>
      <c r="I1057" s="1001">
        <v>20000</v>
      </c>
      <c r="J1057" s="1001">
        <v>16</v>
      </c>
      <c r="K1057" s="1001">
        <v>22000</v>
      </c>
      <c r="L1057" s="1001">
        <v>16</v>
      </c>
      <c r="M1057" s="1001">
        <v>24000</v>
      </c>
      <c r="N1057" s="1001">
        <v>16</v>
      </c>
      <c r="O1057" s="1001">
        <v>26000</v>
      </c>
      <c r="P1057" s="1001">
        <v>16</v>
      </c>
      <c r="Q1057" s="1001">
        <v>28000</v>
      </c>
      <c r="R1057" s="1001"/>
      <c r="S1057" s="1004"/>
      <c r="T1057" s="1004"/>
    </row>
    <row r="1058" spans="2:20" s="1003" customFormat="1" ht="76.5" x14ac:dyDescent="0.25">
      <c r="B1058" s="998" t="s">
        <v>3390</v>
      </c>
      <c r="C1058" s="1000" t="s">
        <v>3273</v>
      </c>
      <c r="D1058" s="1025" t="s">
        <v>103</v>
      </c>
      <c r="E1058" s="1001"/>
      <c r="F1058" s="1001">
        <v>14</v>
      </c>
      <c r="G1058" s="1001">
        <v>7000</v>
      </c>
      <c r="H1058" s="1001">
        <v>16</v>
      </c>
      <c r="I1058" s="1001">
        <v>7500</v>
      </c>
      <c r="J1058" s="1001">
        <v>16</v>
      </c>
      <c r="K1058" s="1001">
        <v>8000</v>
      </c>
      <c r="L1058" s="1001">
        <v>16</v>
      </c>
      <c r="M1058" s="1001">
        <v>8500</v>
      </c>
      <c r="N1058" s="1001">
        <v>16</v>
      </c>
      <c r="O1058" s="1001">
        <v>9000</v>
      </c>
      <c r="P1058" s="1001">
        <v>16</v>
      </c>
      <c r="Q1058" s="1001">
        <v>9000</v>
      </c>
      <c r="R1058" s="1001"/>
      <c r="S1058" s="1004"/>
      <c r="T1058" s="1004"/>
    </row>
    <row r="1059" spans="2:20" s="1003" customFormat="1" ht="38.25" x14ac:dyDescent="0.25">
      <c r="B1059" s="998" t="s">
        <v>1752</v>
      </c>
      <c r="C1059" s="1000"/>
      <c r="D1059" s="1025"/>
      <c r="E1059" s="1001">
        <v>0</v>
      </c>
      <c r="F1059" s="1001">
        <v>0</v>
      </c>
      <c r="G1059" s="1001">
        <v>0</v>
      </c>
      <c r="H1059" s="1001">
        <v>0</v>
      </c>
      <c r="I1059" s="1001">
        <v>0</v>
      </c>
      <c r="J1059" s="1001">
        <v>0</v>
      </c>
      <c r="K1059" s="1001">
        <v>0</v>
      </c>
      <c r="L1059" s="1001">
        <v>0</v>
      </c>
      <c r="M1059" s="1001">
        <v>0</v>
      </c>
      <c r="N1059" s="1001">
        <v>0</v>
      </c>
      <c r="O1059" s="1001">
        <v>0</v>
      </c>
      <c r="P1059" s="1001">
        <v>0</v>
      </c>
      <c r="Q1059" s="1001">
        <v>0</v>
      </c>
      <c r="R1059" s="1001"/>
      <c r="S1059" s="1004"/>
      <c r="T1059" s="1004"/>
    </row>
    <row r="1060" spans="2:20" s="1003" customFormat="1" ht="76.5" customHeight="1" x14ac:dyDescent="0.25">
      <c r="B1060" s="1063" t="s">
        <v>3425</v>
      </c>
      <c r="C1060" s="1000" t="s">
        <v>3274</v>
      </c>
      <c r="D1060" s="1025" t="s">
        <v>79</v>
      </c>
      <c r="E1060" s="1001">
        <v>1</v>
      </c>
      <c r="F1060" s="1001">
        <v>1</v>
      </c>
      <c r="G1060" s="1001">
        <f>G1061</f>
        <v>4200</v>
      </c>
      <c r="H1060" s="1001">
        <v>1</v>
      </c>
      <c r="I1060" s="1001">
        <f>I1061</f>
        <v>4500</v>
      </c>
      <c r="J1060" s="1001">
        <v>1</v>
      </c>
      <c r="K1060" s="1001">
        <f>K1061</f>
        <v>4800</v>
      </c>
      <c r="L1060" s="1001">
        <v>1</v>
      </c>
      <c r="M1060" s="1001">
        <f>M1061</f>
        <v>5100</v>
      </c>
      <c r="N1060" s="1001">
        <v>1</v>
      </c>
      <c r="O1060" s="1001">
        <f>O1061</f>
        <v>5400</v>
      </c>
      <c r="P1060" s="1001">
        <v>1</v>
      </c>
      <c r="Q1060" s="1001">
        <f>Q1061</f>
        <v>5600</v>
      </c>
      <c r="R1060" s="1001">
        <f>E1060+F1060+H1060+J1060+L1060+N1060</f>
        <v>6</v>
      </c>
      <c r="S1060" s="1004"/>
      <c r="T1060" s="1004"/>
    </row>
    <row r="1061" spans="2:20" s="1003" customFormat="1" ht="25.5" x14ac:dyDescent="0.25">
      <c r="B1061" s="1008" t="s">
        <v>3277</v>
      </c>
      <c r="C1061" s="1000" t="s">
        <v>3278</v>
      </c>
      <c r="D1061" s="1025" t="s">
        <v>103</v>
      </c>
      <c r="E1061" s="1001"/>
      <c r="F1061" s="1001">
        <v>12</v>
      </c>
      <c r="G1061" s="1001">
        <v>4200</v>
      </c>
      <c r="H1061" s="1001">
        <v>12</v>
      </c>
      <c r="I1061" s="1001">
        <v>4500</v>
      </c>
      <c r="J1061" s="1001">
        <v>12</v>
      </c>
      <c r="K1061" s="1001">
        <v>4800</v>
      </c>
      <c r="L1061" s="1001">
        <v>12</v>
      </c>
      <c r="M1061" s="1001">
        <v>5100</v>
      </c>
      <c r="N1061" s="1001">
        <v>12</v>
      </c>
      <c r="O1061" s="1001">
        <v>5400</v>
      </c>
      <c r="P1061" s="1001">
        <v>12</v>
      </c>
      <c r="Q1061" s="1001">
        <v>5600</v>
      </c>
      <c r="R1061" s="1001"/>
      <c r="S1061" s="1004"/>
      <c r="T1061" s="1004"/>
    </row>
    <row r="1062" spans="2:20" s="1003" customFormat="1" ht="63.75" customHeight="1" x14ac:dyDescent="0.25">
      <c r="B1062" s="1063" t="s">
        <v>3280</v>
      </c>
      <c r="C1062" s="1000" t="s">
        <v>3279</v>
      </c>
      <c r="D1062" s="1025" t="s">
        <v>327</v>
      </c>
      <c r="E1062" s="1001"/>
      <c r="F1062" s="1001">
        <v>2</v>
      </c>
      <c r="G1062" s="1001">
        <f>SUM(G1063:G1063)</f>
        <v>4000</v>
      </c>
      <c r="H1062" s="1001">
        <v>24</v>
      </c>
      <c r="I1062" s="1001">
        <f>SUM(I1063:I1063)</f>
        <v>4500</v>
      </c>
      <c r="J1062" s="1001">
        <v>28</v>
      </c>
      <c r="K1062" s="1001">
        <f>SUM(K1063:K1063)</f>
        <v>5000</v>
      </c>
      <c r="L1062" s="1001">
        <v>32</v>
      </c>
      <c r="M1062" s="1001">
        <f>SUM(M1063:M1063)</f>
        <v>5500</v>
      </c>
      <c r="N1062" s="1001">
        <v>36</v>
      </c>
      <c r="O1062" s="1001">
        <f>SUM(O1063:O1063)</f>
        <v>6000</v>
      </c>
      <c r="P1062" s="1001">
        <v>40</v>
      </c>
      <c r="Q1062" s="1001">
        <f>SUM(Q1063:Q1063)</f>
        <v>6500</v>
      </c>
      <c r="R1062" s="1001">
        <f>N1062</f>
        <v>36</v>
      </c>
      <c r="S1062" s="1004"/>
      <c r="T1062" s="1004"/>
    </row>
    <row r="1063" spans="2:20" s="1003" customFormat="1" ht="38.25" x14ac:dyDescent="0.25">
      <c r="B1063" s="1008" t="s">
        <v>3282</v>
      </c>
      <c r="C1063" s="1000" t="s">
        <v>3283</v>
      </c>
      <c r="D1063" s="1025" t="s">
        <v>275</v>
      </c>
      <c r="E1063" s="1001"/>
      <c r="F1063" s="1001">
        <v>2</v>
      </c>
      <c r="G1063" s="1001">
        <v>4000</v>
      </c>
      <c r="H1063" s="1001">
        <v>2</v>
      </c>
      <c r="I1063" s="1001">
        <v>4500</v>
      </c>
      <c r="J1063" s="1001">
        <v>1</v>
      </c>
      <c r="K1063" s="1001">
        <v>5000</v>
      </c>
      <c r="L1063" s="1001">
        <v>1</v>
      </c>
      <c r="M1063" s="1001">
        <v>5500</v>
      </c>
      <c r="N1063" s="1001">
        <v>1</v>
      </c>
      <c r="O1063" s="1001">
        <v>6000</v>
      </c>
      <c r="P1063" s="1001">
        <v>1</v>
      </c>
      <c r="Q1063" s="1001">
        <v>6500</v>
      </c>
      <c r="R1063" s="1001"/>
      <c r="S1063" s="1004"/>
      <c r="T1063" s="1004"/>
    </row>
    <row r="1064" spans="2:20" s="1003" customFormat="1" ht="48" x14ac:dyDescent="0.25">
      <c r="B1064" s="1106" t="s">
        <v>3289</v>
      </c>
      <c r="C1064" s="1009" t="s">
        <v>3288</v>
      </c>
      <c r="D1064" s="1025" t="s">
        <v>100</v>
      </c>
      <c r="E1064" s="1001">
        <v>30</v>
      </c>
      <c r="F1064" s="1001">
        <f>F1065</f>
        <v>50</v>
      </c>
      <c r="G1064" s="1001">
        <f t="shared" ref="G1064:Q1064" si="100">G1065</f>
        <v>12000</v>
      </c>
      <c r="H1064" s="1001">
        <f t="shared" si="100"/>
        <v>50</v>
      </c>
      <c r="I1064" s="1001">
        <f t="shared" si="100"/>
        <v>14000</v>
      </c>
      <c r="J1064" s="1001">
        <f t="shared" si="100"/>
        <v>50</v>
      </c>
      <c r="K1064" s="1001">
        <f t="shared" si="100"/>
        <v>14500</v>
      </c>
      <c r="L1064" s="1001">
        <f t="shared" si="100"/>
        <v>50</v>
      </c>
      <c r="M1064" s="1001">
        <f t="shared" si="100"/>
        <v>14500</v>
      </c>
      <c r="N1064" s="1001">
        <f t="shared" si="100"/>
        <v>50</v>
      </c>
      <c r="O1064" s="1001">
        <f t="shared" si="100"/>
        <v>15000</v>
      </c>
      <c r="P1064" s="1001">
        <f t="shared" si="100"/>
        <v>50</v>
      </c>
      <c r="Q1064" s="1001">
        <f t="shared" si="100"/>
        <v>16500</v>
      </c>
      <c r="R1064" s="1001">
        <f>F1064+H1064+J1064+L1064+N1064</f>
        <v>250</v>
      </c>
      <c r="S1064" s="1004"/>
      <c r="T1064" s="1004"/>
    </row>
    <row r="1065" spans="2:20" s="1003" customFormat="1" ht="76.5" x14ac:dyDescent="0.25">
      <c r="B1065" s="998" t="s">
        <v>894</v>
      </c>
      <c r="C1065" s="1009" t="s">
        <v>3290</v>
      </c>
      <c r="D1065" s="1025" t="s">
        <v>40</v>
      </c>
      <c r="E1065" s="1001"/>
      <c r="F1065" s="1001">
        <v>50</v>
      </c>
      <c r="G1065" s="1001">
        <v>12000</v>
      </c>
      <c r="H1065" s="1001">
        <v>50</v>
      </c>
      <c r="I1065" s="1001">
        <v>14000</v>
      </c>
      <c r="J1065" s="1001">
        <v>50</v>
      </c>
      <c r="K1065" s="1001">
        <v>14500</v>
      </c>
      <c r="L1065" s="1001">
        <v>50</v>
      </c>
      <c r="M1065" s="1001">
        <v>14500</v>
      </c>
      <c r="N1065" s="1001">
        <v>50</v>
      </c>
      <c r="O1065" s="1001">
        <v>15000</v>
      </c>
      <c r="P1065" s="1001">
        <v>50</v>
      </c>
      <c r="Q1065" s="1001">
        <v>16500</v>
      </c>
      <c r="R1065" s="1001"/>
      <c r="S1065" s="1004"/>
      <c r="T1065" s="1004"/>
    </row>
    <row r="1066" spans="2:20" s="1003" customFormat="1" ht="60" x14ac:dyDescent="0.25">
      <c r="B1066" s="1063" t="s">
        <v>3292</v>
      </c>
      <c r="C1066" s="1000" t="s">
        <v>3291</v>
      </c>
      <c r="D1066" s="1025" t="s">
        <v>19</v>
      </c>
      <c r="E1066" s="1001">
        <v>75</v>
      </c>
      <c r="F1066" s="1001">
        <v>77</v>
      </c>
      <c r="G1066" s="1001">
        <f>G1067</f>
        <v>1000</v>
      </c>
      <c r="H1066" s="1001"/>
      <c r="I1066" s="1001">
        <f>I1067</f>
        <v>0</v>
      </c>
      <c r="J1066" s="1001"/>
      <c r="K1066" s="1001">
        <f>K1067</f>
        <v>0</v>
      </c>
      <c r="L1066" s="1001">
        <v>80</v>
      </c>
      <c r="M1066" s="1001">
        <f>M1067</f>
        <v>14000</v>
      </c>
      <c r="N1066" s="1001"/>
      <c r="O1066" s="1001">
        <f>O1067</f>
        <v>0</v>
      </c>
      <c r="P1066" s="1001"/>
      <c r="Q1066" s="1001">
        <f>Q1067</f>
        <v>0</v>
      </c>
      <c r="R1066" s="1001">
        <f>L1066</f>
        <v>80</v>
      </c>
      <c r="S1066" s="1004"/>
      <c r="T1066" s="1004"/>
    </row>
    <row r="1067" spans="2:20" s="1003" customFormat="1" ht="38.25" x14ac:dyDescent="0.25">
      <c r="B1067" s="1008" t="s">
        <v>3293</v>
      </c>
      <c r="C1067" s="1000" t="s">
        <v>3294</v>
      </c>
      <c r="D1067" s="1025" t="s">
        <v>103</v>
      </c>
      <c r="E1067" s="1001"/>
      <c r="F1067" s="1001">
        <v>1</v>
      </c>
      <c r="G1067" s="1001">
        <v>1000</v>
      </c>
      <c r="H1067" s="1001">
        <v>0</v>
      </c>
      <c r="I1067" s="1001">
        <v>0</v>
      </c>
      <c r="J1067" s="1001">
        <v>0</v>
      </c>
      <c r="K1067" s="1001"/>
      <c r="L1067" s="1001">
        <v>12</v>
      </c>
      <c r="M1067" s="1001">
        <v>14000</v>
      </c>
      <c r="N1067" s="1001">
        <v>0</v>
      </c>
      <c r="O1067" s="1001">
        <v>0</v>
      </c>
      <c r="P1067" s="1001">
        <v>0</v>
      </c>
      <c r="Q1067" s="1001">
        <v>0</v>
      </c>
      <c r="R1067" s="1001"/>
      <c r="S1067" s="1004"/>
      <c r="T1067" s="1004"/>
    </row>
    <row r="1068" spans="2:20" s="1003" customFormat="1" ht="60" x14ac:dyDescent="0.25">
      <c r="B1068" s="1063" t="s">
        <v>3296</v>
      </c>
      <c r="C1068" s="1000" t="s">
        <v>3295</v>
      </c>
      <c r="D1068" s="1025" t="s">
        <v>327</v>
      </c>
      <c r="E1068" s="1001">
        <v>11</v>
      </c>
      <c r="F1068" s="1001">
        <f>F1069</f>
        <v>14</v>
      </c>
      <c r="G1068" s="1001">
        <f t="shared" ref="G1068:Q1068" si="101">G1069</f>
        <v>4500</v>
      </c>
      <c r="H1068" s="1001">
        <f t="shared" si="101"/>
        <v>16</v>
      </c>
      <c r="I1068" s="1001">
        <f t="shared" si="101"/>
        <v>4800</v>
      </c>
      <c r="J1068" s="1001">
        <f t="shared" si="101"/>
        <v>16</v>
      </c>
      <c r="K1068" s="1001">
        <f t="shared" si="101"/>
        <v>5000</v>
      </c>
      <c r="L1068" s="1001">
        <f t="shared" si="101"/>
        <v>16</v>
      </c>
      <c r="M1068" s="1001">
        <f t="shared" si="101"/>
        <v>8000</v>
      </c>
      <c r="N1068" s="1001">
        <f t="shared" si="101"/>
        <v>16</v>
      </c>
      <c r="O1068" s="1001">
        <f t="shared" si="101"/>
        <v>9600</v>
      </c>
      <c r="P1068" s="1001">
        <f t="shared" si="101"/>
        <v>16</v>
      </c>
      <c r="Q1068" s="1001">
        <f t="shared" si="101"/>
        <v>11200</v>
      </c>
      <c r="R1068" s="1001">
        <f>N1068</f>
        <v>16</v>
      </c>
      <c r="S1068" s="1004"/>
      <c r="T1068" s="1004"/>
    </row>
    <row r="1069" spans="2:20" s="1003" customFormat="1" x14ac:dyDescent="0.25">
      <c r="B1069" s="1008" t="s">
        <v>383</v>
      </c>
      <c r="C1069" s="1000" t="s">
        <v>3297</v>
      </c>
      <c r="D1069" s="1025"/>
      <c r="E1069" s="1001"/>
      <c r="F1069" s="1001">
        <v>14</v>
      </c>
      <c r="G1069" s="1001">
        <v>4500</v>
      </c>
      <c r="H1069" s="1001">
        <v>16</v>
      </c>
      <c r="I1069" s="1001">
        <v>4800</v>
      </c>
      <c r="J1069" s="1001">
        <v>16</v>
      </c>
      <c r="K1069" s="1001">
        <v>5000</v>
      </c>
      <c r="L1069" s="1001">
        <v>16</v>
      </c>
      <c r="M1069" s="1001">
        <v>8000</v>
      </c>
      <c r="N1069" s="1001">
        <v>16</v>
      </c>
      <c r="O1069" s="1001">
        <v>9600</v>
      </c>
      <c r="P1069" s="1001">
        <v>16</v>
      </c>
      <c r="Q1069" s="1001">
        <v>11200</v>
      </c>
      <c r="R1069" s="1001"/>
      <c r="S1069" s="1004"/>
      <c r="T1069" s="1004"/>
    </row>
    <row r="1070" spans="2:20" s="1003" customFormat="1" ht="38.25" x14ac:dyDescent="0.25">
      <c r="B1070" s="1063" t="s">
        <v>3578</v>
      </c>
      <c r="C1070" s="1000" t="s">
        <v>3579</v>
      </c>
      <c r="D1070" s="1025" t="s">
        <v>40</v>
      </c>
      <c r="E1070" s="1001"/>
      <c r="F1070" s="1001"/>
      <c r="G1070" s="1001"/>
      <c r="H1070" s="1001"/>
      <c r="I1070" s="1001"/>
      <c r="J1070" s="1001">
        <v>12</v>
      </c>
      <c r="K1070" s="1001">
        <v>6000</v>
      </c>
      <c r="L1070" s="1001">
        <v>12</v>
      </c>
      <c r="M1070" s="1001">
        <v>6500</v>
      </c>
      <c r="N1070" s="1001">
        <v>12</v>
      </c>
      <c r="O1070" s="1001">
        <v>7000</v>
      </c>
      <c r="P1070" s="1001">
        <v>12</v>
      </c>
      <c r="Q1070" s="1001">
        <v>7500</v>
      </c>
      <c r="R1070" s="1001"/>
      <c r="S1070" s="1004"/>
      <c r="T1070" s="1004"/>
    </row>
    <row r="1071" spans="2:20" s="1032" customFormat="1" x14ac:dyDescent="0.25">
      <c r="B1071" s="1027" t="s">
        <v>2651</v>
      </c>
      <c r="C1071" s="1033"/>
      <c r="D1071" s="1034"/>
      <c r="E1071" s="1033"/>
      <c r="F1071" s="1033"/>
      <c r="G1071" s="1035">
        <f>G1025+G1026+G1026+G1027+G1028+G1029+G1030+G1031+G1032+G1033+G1034+G1035+G1036+G1037+G1041+G1042+G1044+G1045+G1048+G1050+G1053+G1055+G1057+G1058+G1061+G1063+G1065+G1067+G1069</f>
        <v>248471</v>
      </c>
      <c r="H1071" s="1033"/>
      <c r="I1071" s="1035">
        <f>(I1024+I1038+I1048+I1051+I1055+I1056+I1061+I1063+I1065+I1069)</f>
        <v>246800</v>
      </c>
      <c r="J1071" s="1033"/>
      <c r="K1071" s="1035"/>
      <c r="L1071" s="1033"/>
      <c r="M1071" s="1035"/>
      <c r="N1071" s="1033"/>
      <c r="O1071" s="1035"/>
      <c r="P1071" s="1033"/>
      <c r="Q1071" s="1035"/>
      <c r="R1071" s="1033"/>
      <c r="S1071" s="1036"/>
      <c r="T1071" s="1036"/>
    </row>
    <row r="1072" spans="2:20" s="1003" customFormat="1" x14ac:dyDescent="0.25">
      <c r="B1072" s="1005"/>
      <c r="C1072" s="1100"/>
      <c r="D1072" s="1000"/>
      <c r="E1072" s="1001"/>
      <c r="F1072" s="1001"/>
      <c r="G1072" s="1001"/>
      <c r="H1072" s="1001"/>
      <c r="I1072" s="1001"/>
      <c r="J1072" s="1001"/>
      <c r="K1072" s="1001"/>
      <c r="L1072" s="1001"/>
      <c r="M1072" s="1001"/>
      <c r="N1072" s="1001"/>
      <c r="O1072" s="1001"/>
      <c r="P1072" s="1001"/>
      <c r="Q1072" s="1001"/>
      <c r="R1072" s="1001"/>
      <c r="S1072" s="1004"/>
      <c r="T1072" s="1004"/>
    </row>
    <row r="1073" spans="2:20" s="1003" customFormat="1" ht="24" x14ac:dyDescent="0.25">
      <c r="B1073" s="1168" t="s">
        <v>3580</v>
      </c>
      <c r="C1073" s="1168"/>
      <c r="D1073" s="1168"/>
      <c r="E1073" s="1168"/>
      <c r="F1073" s="1168"/>
      <c r="G1073" s="1169">
        <f>SUM(G1074:G1090)</f>
        <v>406650</v>
      </c>
      <c r="H1073" s="1168"/>
      <c r="I1073" s="1169">
        <f>SUM(I1074:I1090)</f>
        <v>690173.25699999998</v>
      </c>
      <c r="J1073" s="1168"/>
      <c r="K1073" s="1169">
        <f>SUM(K1074:K1090)</f>
        <v>729819</v>
      </c>
      <c r="L1073" s="1170"/>
      <c r="M1073" s="1169">
        <f>SUM(M1074:M1090)</f>
        <v>787700.95</v>
      </c>
      <c r="N1073" s="1170"/>
      <c r="O1073" s="1169">
        <f>SUM(O1074:O1090)</f>
        <v>850616.09750000003</v>
      </c>
      <c r="P1073" s="1170"/>
      <c r="Q1073" s="1169">
        <f>SUM(Q1074:Q1090)</f>
        <v>919030.01237500017</v>
      </c>
      <c r="R1073" s="1170"/>
      <c r="S1073" s="1168"/>
      <c r="T1073" s="1168"/>
    </row>
    <row r="1074" spans="2:20" s="1003" customFormat="1" ht="63.75" x14ac:dyDescent="0.25">
      <c r="B1074" s="1171" t="s">
        <v>36</v>
      </c>
      <c r="C1074" s="1172" t="s">
        <v>1488</v>
      </c>
      <c r="D1074" s="1172" t="s">
        <v>19</v>
      </c>
      <c r="E1074" s="1173">
        <v>0</v>
      </c>
      <c r="F1074" s="1172">
        <v>20</v>
      </c>
      <c r="G1074" s="1173">
        <v>51900</v>
      </c>
      <c r="H1074" s="1172">
        <v>20</v>
      </c>
      <c r="I1074" s="1174">
        <v>54585</v>
      </c>
      <c r="J1074" s="1172">
        <v>20</v>
      </c>
      <c r="K1074" s="1175">
        <v>60673</v>
      </c>
      <c r="L1074" s="1172">
        <v>20</v>
      </c>
      <c r="M1074" s="1175">
        <f>105%*K1074</f>
        <v>63706.65</v>
      </c>
      <c r="N1074" s="1172">
        <v>20</v>
      </c>
      <c r="O1074" s="1175">
        <f>105%*M1074</f>
        <v>66891.982499999998</v>
      </c>
      <c r="P1074" s="1172">
        <v>20</v>
      </c>
      <c r="Q1074" s="1175">
        <f>105%*O1074</f>
        <v>70236.581625000006</v>
      </c>
      <c r="R1074" s="1172">
        <f t="shared" ref="R1074:R1089" si="102">H1074+J1074+L1074+N1074+P1074</f>
        <v>100</v>
      </c>
      <c r="S1074" s="1172" t="s">
        <v>3581</v>
      </c>
      <c r="T1074" s="1172" t="s">
        <v>3581</v>
      </c>
    </row>
    <row r="1075" spans="2:20" s="1003" customFormat="1" ht="60" x14ac:dyDescent="0.25">
      <c r="B1075" s="1171" t="s">
        <v>65</v>
      </c>
      <c r="C1075" s="1172" t="s">
        <v>3234</v>
      </c>
      <c r="D1075" s="1172" t="s">
        <v>19</v>
      </c>
      <c r="E1075" s="1173">
        <v>0</v>
      </c>
      <c r="F1075" s="1172">
        <v>20</v>
      </c>
      <c r="G1075" s="1173">
        <v>34550</v>
      </c>
      <c r="H1075" s="1172">
        <v>20</v>
      </c>
      <c r="I1075" s="2116">
        <v>79960.256999999998</v>
      </c>
      <c r="J1075" s="1172">
        <v>20</v>
      </c>
      <c r="K1075" s="2119">
        <v>87956</v>
      </c>
      <c r="L1075" s="1172">
        <v>20</v>
      </c>
      <c r="M1075" s="2119">
        <f>105%*K1075</f>
        <v>92353.8</v>
      </c>
      <c r="N1075" s="1172">
        <v>20</v>
      </c>
      <c r="O1075" s="2119">
        <f>105%*M1075</f>
        <v>96971.49</v>
      </c>
      <c r="P1075" s="1172">
        <v>20</v>
      </c>
      <c r="Q1075" s="2119">
        <f>105%*O1075</f>
        <v>101820.06450000001</v>
      </c>
      <c r="R1075" s="1172">
        <f t="shared" si="102"/>
        <v>100</v>
      </c>
      <c r="S1075" s="1172" t="s">
        <v>3581</v>
      </c>
      <c r="T1075" s="1172" t="s">
        <v>3581</v>
      </c>
    </row>
    <row r="1076" spans="2:20" s="1003" customFormat="1" ht="38.25" x14ac:dyDescent="0.25">
      <c r="B1076" s="1172"/>
      <c r="C1076" s="1172" t="s">
        <v>3235</v>
      </c>
      <c r="D1076" s="1172" t="s">
        <v>19</v>
      </c>
      <c r="E1076" s="1173">
        <v>0</v>
      </c>
      <c r="F1076" s="1172">
        <v>20</v>
      </c>
      <c r="G1076" s="1173"/>
      <c r="H1076" s="1172">
        <v>20</v>
      </c>
      <c r="I1076" s="2118"/>
      <c r="J1076" s="1172">
        <v>20</v>
      </c>
      <c r="K1076" s="2120"/>
      <c r="L1076" s="1172">
        <v>20</v>
      </c>
      <c r="M1076" s="2120"/>
      <c r="N1076" s="1172">
        <v>20</v>
      </c>
      <c r="O1076" s="2120"/>
      <c r="P1076" s="1172">
        <v>20</v>
      </c>
      <c r="Q1076" s="2120"/>
      <c r="R1076" s="1172">
        <f t="shared" si="102"/>
        <v>100</v>
      </c>
      <c r="S1076" s="1172" t="s">
        <v>3581</v>
      </c>
      <c r="T1076" s="1172" t="s">
        <v>3581</v>
      </c>
    </row>
    <row r="1077" spans="2:20" s="1003" customFormat="1" ht="38.25" x14ac:dyDescent="0.25">
      <c r="B1077" s="1171" t="s">
        <v>1180</v>
      </c>
      <c r="C1077" s="1172" t="s">
        <v>3582</v>
      </c>
      <c r="D1077" s="1172" t="s">
        <v>324</v>
      </c>
      <c r="E1077" s="1173">
        <v>0</v>
      </c>
      <c r="F1077" s="1173">
        <v>0</v>
      </c>
      <c r="G1077" s="1173">
        <v>0</v>
      </c>
      <c r="H1077" s="1172">
        <v>1</v>
      </c>
      <c r="I1077" s="1174">
        <v>21158</v>
      </c>
      <c r="J1077" s="1172">
        <v>1</v>
      </c>
      <c r="K1077" s="1175">
        <v>23273</v>
      </c>
      <c r="L1077" s="1172">
        <v>1</v>
      </c>
      <c r="M1077" s="1175">
        <f>105%*K1077</f>
        <v>24436.65</v>
      </c>
      <c r="N1077" s="1172">
        <v>1</v>
      </c>
      <c r="O1077" s="1175">
        <f>105%*M1077</f>
        <v>25658.482500000002</v>
      </c>
      <c r="P1077" s="1172">
        <v>1</v>
      </c>
      <c r="Q1077" s="1175">
        <f>105%*O1077</f>
        <v>26941.406625000003</v>
      </c>
      <c r="R1077" s="1172">
        <f t="shared" si="102"/>
        <v>5</v>
      </c>
      <c r="S1077" s="1172" t="s">
        <v>3581</v>
      </c>
      <c r="T1077" s="1172" t="s">
        <v>3581</v>
      </c>
    </row>
    <row r="1078" spans="2:20" s="1003" customFormat="1" ht="38.25" x14ac:dyDescent="0.25">
      <c r="B1078" s="1171" t="s">
        <v>3302</v>
      </c>
      <c r="C1078" s="1172" t="s">
        <v>3583</v>
      </c>
      <c r="D1078" s="1172" t="s">
        <v>324</v>
      </c>
      <c r="E1078" s="1173">
        <v>0</v>
      </c>
      <c r="F1078" s="1173">
        <v>0</v>
      </c>
      <c r="G1078" s="1173">
        <v>0</v>
      </c>
      <c r="H1078" s="1172">
        <v>5</v>
      </c>
      <c r="I1078" s="1174">
        <v>37800</v>
      </c>
      <c r="J1078" s="1172">
        <v>5</v>
      </c>
      <c r="K1078" s="1175">
        <v>41580</v>
      </c>
      <c r="L1078" s="1172">
        <v>5</v>
      </c>
      <c r="M1078" s="1175">
        <f>105%*K1078</f>
        <v>43659</v>
      </c>
      <c r="N1078" s="1172">
        <v>5</v>
      </c>
      <c r="O1078" s="1175">
        <f>105%*M1078</f>
        <v>45841.950000000004</v>
      </c>
      <c r="P1078" s="1172">
        <v>5</v>
      </c>
      <c r="Q1078" s="1175">
        <f>105%*O1078</f>
        <v>48134.047500000008</v>
      </c>
      <c r="R1078" s="1172">
        <f t="shared" si="102"/>
        <v>25</v>
      </c>
      <c r="S1078" s="1172" t="s">
        <v>3581</v>
      </c>
      <c r="T1078" s="1172" t="s">
        <v>3581</v>
      </c>
    </row>
    <row r="1079" spans="2:20" s="1003" customFormat="1" ht="63.75" x14ac:dyDescent="0.25">
      <c r="B1079" s="1171" t="s">
        <v>3323</v>
      </c>
      <c r="C1079" s="1172" t="s">
        <v>3584</v>
      </c>
      <c r="D1079" s="1172" t="s">
        <v>303</v>
      </c>
      <c r="E1079" s="1173">
        <v>0</v>
      </c>
      <c r="F1079" s="1173">
        <v>0</v>
      </c>
      <c r="G1079" s="1173">
        <v>0</v>
      </c>
      <c r="H1079" s="1172">
        <v>4</v>
      </c>
      <c r="I1079" s="1174">
        <v>14920</v>
      </c>
      <c r="J1079" s="1172">
        <v>4</v>
      </c>
      <c r="K1079" s="1175">
        <v>16412</v>
      </c>
      <c r="L1079" s="1172">
        <v>4</v>
      </c>
      <c r="M1079" s="1175">
        <f>105%*K1079</f>
        <v>17232.600000000002</v>
      </c>
      <c r="N1079" s="1172">
        <v>4</v>
      </c>
      <c r="O1079" s="1175">
        <f>105%*M1079</f>
        <v>18094.230000000003</v>
      </c>
      <c r="P1079" s="1172">
        <v>4</v>
      </c>
      <c r="Q1079" s="1175">
        <f>105%*O1079</f>
        <v>18998.941500000004</v>
      </c>
      <c r="R1079" s="1172">
        <f t="shared" si="102"/>
        <v>20</v>
      </c>
      <c r="S1079" s="1172" t="s">
        <v>3581</v>
      </c>
      <c r="T1079" s="1172" t="s">
        <v>3581</v>
      </c>
    </row>
    <row r="1080" spans="2:20" s="1003" customFormat="1" ht="51" x14ac:dyDescent="0.25">
      <c r="B1080" s="1171" t="s">
        <v>1548</v>
      </c>
      <c r="C1080" s="1172" t="s">
        <v>3585</v>
      </c>
      <c r="D1080" s="1172" t="s">
        <v>3586</v>
      </c>
      <c r="E1080" s="1173">
        <v>0</v>
      </c>
      <c r="F1080" s="1172">
        <v>1</v>
      </c>
      <c r="G1080" s="1173">
        <v>300000</v>
      </c>
      <c r="H1080" s="1172">
        <v>1</v>
      </c>
      <c r="I1080" s="1174">
        <v>324200</v>
      </c>
      <c r="J1080" s="1172">
        <v>1</v>
      </c>
      <c r="K1080" s="1175">
        <v>326620</v>
      </c>
      <c r="L1080" s="1172">
        <v>1</v>
      </c>
      <c r="M1080" s="1175">
        <f>110%*K1080</f>
        <v>359282</v>
      </c>
      <c r="N1080" s="1172">
        <v>1</v>
      </c>
      <c r="O1080" s="1175">
        <f>110%*M1080</f>
        <v>395210.2</v>
      </c>
      <c r="P1080" s="1172">
        <v>1</v>
      </c>
      <c r="Q1080" s="1175">
        <f>110%*O1080</f>
        <v>434731.22000000003</v>
      </c>
      <c r="R1080" s="1172">
        <f t="shared" si="102"/>
        <v>5</v>
      </c>
      <c r="S1080" s="1172" t="s">
        <v>3581</v>
      </c>
      <c r="T1080" s="1172" t="s">
        <v>3581</v>
      </c>
    </row>
    <row r="1081" spans="2:20" s="1003" customFormat="1" ht="63.75" x14ac:dyDescent="0.25">
      <c r="B1081" s="1171" t="s">
        <v>1690</v>
      </c>
      <c r="C1081" s="1172" t="s">
        <v>3587</v>
      </c>
      <c r="D1081" s="1172" t="s">
        <v>324</v>
      </c>
      <c r="E1081" s="1173">
        <v>0</v>
      </c>
      <c r="F1081" s="1173">
        <v>0</v>
      </c>
      <c r="G1081" s="1173">
        <v>0</v>
      </c>
      <c r="H1081" s="1172">
        <v>6</v>
      </c>
      <c r="I1081" s="1174">
        <v>92000</v>
      </c>
      <c r="J1081" s="1172">
        <v>6</v>
      </c>
      <c r="K1081" s="1175">
        <f>110%*I1081</f>
        <v>101200.00000000001</v>
      </c>
      <c r="L1081" s="1172">
        <v>7</v>
      </c>
      <c r="M1081" s="1175">
        <f>110%*K1081</f>
        <v>111320.00000000003</v>
      </c>
      <c r="N1081" s="1172">
        <v>8</v>
      </c>
      <c r="O1081" s="1175">
        <f>110%*M1081</f>
        <v>122452.00000000004</v>
      </c>
      <c r="P1081" s="1172">
        <v>8</v>
      </c>
      <c r="Q1081" s="1175">
        <f>110%*O1081</f>
        <v>134697.20000000007</v>
      </c>
      <c r="R1081" s="1172">
        <f t="shared" si="102"/>
        <v>35</v>
      </c>
      <c r="S1081" s="1172" t="s">
        <v>3581</v>
      </c>
      <c r="T1081" s="1172" t="s">
        <v>3581</v>
      </c>
    </row>
    <row r="1082" spans="2:20" s="1003" customFormat="1" ht="48" x14ac:dyDescent="0.25">
      <c r="B1082" s="1171" t="s">
        <v>3307</v>
      </c>
      <c r="C1082" s="1172" t="s">
        <v>3588</v>
      </c>
      <c r="D1082" s="1172" t="s">
        <v>303</v>
      </c>
      <c r="E1082" s="1173">
        <v>0</v>
      </c>
      <c r="F1082" s="1172">
        <v>1</v>
      </c>
      <c r="G1082" s="1173">
        <v>3700</v>
      </c>
      <c r="H1082" s="1172">
        <v>1</v>
      </c>
      <c r="I1082" s="1174">
        <v>3800</v>
      </c>
      <c r="J1082" s="1172">
        <v>1</v>
      </c>
      <c r="K1082" s="1175">
        <v>4180</v>
      </c>
      <c r="L1082" s="1172">
        <v>1</v>
      </c>
      <c r="M1082" s="1175">
        <f t="shared" ref="M1082:M1089" si="103">105%*K1082</f>
        <v>4389</v>
      </c>
      <c r="N1082" s="1172">
        <v>1</v>
      </c>
      <c r="O1082" s="1175">
        <f t="shared" ref="O1082:O1089" si="104">105%*M1082</f>
        <v>4608.45</v>
      </c>
      <c r="P1082" s="1172">
        <v>1</v>
      </c>
      <c r="Q1082" s="1175">
        <f t="shared" ref="Q1082:Q1089" si="105">105%*O1082</f>
        <v>4838.8725000000004</v>
      </c>
      <c r="R1082" s="1172">
        <f t="shared" si="102"/>
        <v>5</v>
      </c>
      <c r="S1082" s="1172" t="s">
        <v>3581</v>
      </c>
      <c r="T1082" s="1172" t="s">
        <v>3581</v>
      </c>
    </row>
    <row r="1083" spans="2:20" s="1003" customFormat="1" ht="63.75" x14ac:dyDescent="0.25">
      <c r="B1083" s="1171" t="s">
        <v>763</v>
      </c>
      <c r="C1083" s="1172" t="s">
        <v>3589</v>
      </c>
      <c r="D1083" s="1172" t="s">
        <v>324</v>
      </c>
      <c r="E1083" s="1173">
        <v>0</v>
      </c>
      <c r="F1083" s="1172">
        <v>5</v>
      </c>
      <c r="G1083" s="1173">
        <v>3000</v>
      </c>
      <c r="H1083" s="1172">
        <v>5</v>
      </c>
      <c r="I1083" s="1174">
        <v>29000</v>
      </c>
      <c r="J1083" s="1172">
        <v>5</v>
      </c>
      <c r="K1083" s="1175">
        <v>31900</v>
      </c>
      <c r="L1083" s="1172">
        <v>5</v>
      </c>
      <c r="M1083" s="1175">
        <f t="shared" si="103"/>
        <v>33495</v>
      </c>
      <c r="N1083" s="1172">
        <v>5</v>
      </c>
      <c r="O1083" s="1175">
        <f t="shared" si="104"/>
        <v>35169.75</v>
      </c>
      <c r="P1083" s="1172">
        <v>5</v>
      </c>
      <c r="Q1083" s="1175">
        <f t="shared" si="105"/>
        <v>36928.237500000003</v>
      </c>
      <c r="R1083" s="1172">
        <f t="shared" si="102"/>
        <v>25</v>
      </c>
      <c r="S1083" s="1172" t="s">
        <v>3581</v>
      </c>
      <c r="T1083" s="1172" t="s">
        <v>3581</v>
      </c>
    </row>
    <row r="1084" spans="2:20" s="1003" customFormat="1" ht="48" x14ac:dyDescent="0.25">
      <c r="B1084" s="1171" t="s">
        <v>3312</v>
      </c>
      <c r="C1084" s="1172" t="s">
        <v>3590</v>
      </c>
      <c r="D1084" s="1172" t="s">
        <v>303</v>
      </c>
      <c r="E1084" s="1173">
        <v>0</v>
      </c>
      <c r="F1084" s="1172">
        <v>1</v>
      </c>
      <c r="G1084" s="1173">
        <v>2750</v>
      </c>
      <c r="H1084" s="1172">
        <v>1</v>
      </c>
      <c r="I1084" s="1174">
        <v>2750</v>
      </c>
      <c r="J1084" s="1172">
        <v>1</v>
      </c>
      <c r="K1084" s="1175">
        <v>3025</v>
      </c>
      <c r="L1084" s="1172">
        <v>1</v>
      </c>
      <c r="M1084" s="1175">
        <f t="shared" si="103"/>
        <v>3176.25</v>
      </c>
      <c r="N1084" s="1172">
        <v>1</v>
      </c>
      <c r="O1084" s="1175">
        <f t="shared" si="104"/>
        <v>3335.0625</v>
      </c>
      <c r="P1084" s="1172">
        <v>1</v>
      </c>
      <c r="Q1084" s="1175">
        <f t="shared" si="105"/>
        <v>3501.8156250000002</v>
      </c>
      <c r="R1084" s="1172">
        <f t="shared" si="102"/>
        <v>5</v>
      </c>
      <c r="S1084" s="1172" t="s">
        <v>3581</v>
      </c>
      <c r="T1084" s="1172" t="s">
        <v>3581</v>
      </c>
    </row>
    <row r="1085" spans="2:20" s="1003" customFormat="1" ht="60" x14ac:dyDescent="0.25">
      <c r="B1085" s="1171" t="s">
        <v>424</v>
      </c>
      <c r="C1085" s="1172" t="s">
        <v>3591</v>
      </c>
      <c r="D1085" s="1172" t="s">
        <v>303</v>
      </c>
      <c r="E1085" s="1173">
        <v>0</v>
      </c>
      <c r="F1085" s="1172">
        <v>1</v>
      </c>
      <c r="G1085" s="1173">
        <v>3500</v>
      </c>
      <c r="H1085" s="1172">
        <v>1</v>
      </c>
      <c r="I1085" s="1174">
        <v>3500</v>
      </c>
      <c r="J1085" s="1172">
        <v>1</v>
      </c>
      <c r="K1085" s="1175">
        <v>3850</v>
      </c>
      <c r="L1085" s="1172">
        <v>1</v>
      </c>
      <c r="M1085" s="1175">
        <f t="shared" si="103"/>
        <v>4042.5</v>
      </c>
      <c r="N1085" s="1172">
        <v>1</v>
      </c>
      <c r="O1085" s="1175">
        <f t="shared" si="104"/>
        <v>4244.625</v>
      </c>
      <c r="P1085" s="1172">
        <v>1</v>
      </c>
      <c r="Q1085" s="1175">
        <f t="shared" si="105"/>
        <v>4456.8562499999998</v>
      </c>
      <c r="R1085" s="1172">
        <f t="shared" si="102"/>
        <v>5</v>
      </c>
      <c r="S1085" s="1172" t="s">
        <v>3581</v>
      </c>
      <c r="T1085" s="1172" t="s">
        <v>3581</v>
      </c>
    </row>
    <row r="1086" spans="2:20" s="1003" customFormat="1" ht="72" x14ac:dyDescent="0.25">
      <c r="B1086" s="1171" t="s">
        <v>446</v>
      </c>
      <c r="C1086" s="1172" t="s">
        <v>3592</v>
      </c>
      <c r="D1086" s="1172" t="s">
        <v>1158</v>
      </c>
      <c r="E1086" s="1173">
        <v>0</v>
      </c>
      <c r="F1086" s="1173">
        <v>0</v>
      </c>
      <c r="G1086" s="1173">
        <v>0</v>
      </c>
      <c r="H1086" s="1172">
        <v>12</v>
      </c>
      <c r="I1086" s="1174">
        <v>7500</v>
      </c>
      <c r="J1086" s="1172">
        <v>12</v>
      </c>
      <c r="K1086" s="1175">
        <v>8250</v>
      </c>
      <c r="L1086" s="1172">
        <v>12</v>
      </c>
      <c r="M1086" s="1175">
        <f t="shared" si="103"/>
        <v>8662.5</v>
      </c>
      <c r="N1086" s="1172">
        <v>12</v>
      </c>
      <c r="O1086" s="1175">
        <f t="shared" si="104"/>
        <v>9095.625</v>
      </c>
      <c r="P1086" s="1172">
        <v>12</v>
      </c>
      <c r="Q1086" s="1175">
        <f t="shared" si="105"/>
        <v>9550.40625</v>
      </c>
      <c r="R1086" s="1172">
        <f t="shared" si="102"/>
        <v>60</v>
      </c>
      <c r="S1086" s="1172" t="s">
        <v>3581</v>
      </c>
      <c r="T1086" s="1172" t="s">
        <v>3581</v>
      </c>
    </row>
    <row r="1087" spans="2:20" s="1003" customFormat="1" ht="60" x14ac:dyDescent="0.25">
      <c r="B1087" s="1171" t="s">
        <v>1845</v>
      </c>
      <c r="C1087" s="1172" t="s">
        <v>3593</v>
      </c>
      <c r="D1087" s="1172" t="s">
        <v>303</v>
      </c>
      <c r="E1087" s="1173">
        <v>0</v>
      </c>
      <c r="F1087" s="1173">
        <v>1</v>
      </c>
      <c r="G1087" s="1173">
        <v>2750</v>
      </c>
      <c r="H1087" s="1172">
        <v>1</v>
      </c>
      <c r="I1087" s="1174">
        <v>3000</v>
      </c>
      <c r="J1087" s="1172">
        <v>1</v>
      </c>
      <c r="K1087" s="1175">
        <v>3300</v>
      </c>
      <c r="L1087" s="1172">
        <v>1</v>
      </c>
      <c r="M1087" s="1175">
        <f t="shared" si="103"/>
        <v>3465</v>
      </c>
      <c r="N1087" s="1172">
        <v>1</v>
      </c>
      <c r="O1087" s="1175">
        <f t="shared" si="104"/>
        <v>3638.25</v>
      </c>
      <c r="P1087" s="1172">
        <v>1</v>
      </c>
      <c r="Q1087" s="1175">
        <f t="shared" si="105"/>
        <v>3820.1625000000004</v>
      </c>
      <c r="R1087" s="1172">
        <f t="shared" si="102"/>
        <v>5</v>
      </c>
      <c r="S1087" s="1172" t="s">
        <v>3581</v>
      </c>
      <c r="T1087" s="1172" t="s">
        <v>3581</v>
      </c>
    </row>
    <row r="1088" spans="2:20" s="1003" customFormat="1" ht="60" x14ac:dyDescent="0.25">
      <c r="B1088" s="1171" t="s">
        <v>3594</v>
      </c>
      <c r="C1088" s="1172" t="s">
        <v>3595</v>
      </c>
      <c r="D1088" s="1172" t="s">
        <v>303</v>
      </c>
      <c r="E1088" s="1173">
        <v>0</v>
      </c>
      <c r="F1088" s="1173">
        <v>0</v>
      </c>
      <c r="G1088" s="1173">
        <v>0</v>
      </c>
      <c r="H1088" s="1172">
        <v>1</v>
      </c>
      <c r="I1088" s="1174">
        <v>10000</v>
      </c>
      <c r="J1088" s="1172">
        <v>1</v>
      </c>
      <c r="K1088" s="1175">
        <v>11000</v>
      </c>
      <c r="L1088" s="1172">
        <v>1</v>
      </c>
      <c r="M1088" s="1175">
        <f t="shared" si="103"/>
        <v>11550</v>
      </c>
      <c r="N1088" s="1172">
        <v>1</v>
      </c>
      <c r="O1088" s="1175">
        <f t="shared" si="104"/>
        <v>12127.5</v>
      </c>
      <c r="P1088" s="1172">
        <v>1</v>
      </c>
      <c r="Q1088" s="1175">
        <f t="shared" si="105"/>
        <v>12733.875</v>
      </c>
      <c r="R1088" s="1172">
        <f t="shared" si="102"/>
        <v>5</v>
      </c>
      <c r="S1088" s="1172" t="s">
        <v>3581</v>
      </c>
      <c r="T1088" s="1172" t="s">
        <v>3581</v>
      </c>
    </row>
    <row r="1089" spans="2:20" s="1003" customFormat="1" ht="63.75" x14ac:dyDescent="0.25">
      <c r="B1089" s="1172" t="s">
        <v>1786</v>
      </c>
      <c r="C1089" s="1172" t="s">
        <v>3596</v>
      </c>
      <c r="D1089" s="1172" t="s">
        <v>303</v>
      </c>
      <c r="E1089" s="1173">
        <v>0</v>
      </c>
      <c r="F1089" s="1172">
        <v>2</v>
      </c>
      <c r="G1089" s="1173">
        <v>4500</v>
      </c>
      <c r="H1089" s="1172">
        <v>2</v>
      </c>
      <c r="I1089" s="1174">
        <v>6000</v>
      </c>
      <c r="J1089" s="1172">
        <v>2</v>
      </c>
      <c r="K1089" s="1175">
        <v>6600</v>
      </c>
      <c r="L1089" s="1172">
        <v>2</v>
      </c>
      <c r="M1089" s="1175">
        <f t="shared" si="103"/>
        <v>6930</v>
      </c>
      <c r="N1089" s="1172">
        <v>2</v>
      </c>
      <c r="O1089" s="1175">
        <f t="shared" si="104"/>
        <v>7276.5</v>
      </c>
      <c r="P1089" s="1172">
        <v>2</v>
      </c>
      <c r="Q1089" s="1175">
        <f t="shared" si="105"/>
        <v>7640.3250000000007</v>
      </c>
      <c r="R1089" s="1172">
        <f t="shared" si="102"/>
        <v>10</v>
      </c>
      <c r="S1089" s="1172" t="s">
        <v>3581</v>
      </c>
      <c r="T1089" s="1172" t="s">
        <v>3581</v>
      </c>
    </row>
    <row r="1090" spans="2:20" s="1003" customFormat="1" x14ac:dyDescent="0.25">
      <c r="B1090" s="1182"/>
      <c r="C1090" s="1182"/>
      <c r="D1090" s="1182"/>
      <c r="E1090" s="1183"/>
      <c r="F1090" s="1183"/>
      <c r="G1090" s="1184">
        <f>G1091-414743</f>
        <v>0</v>
      </c>
      <c r="H1090" s="1183"/>
      <c r="I1090" s="1183"/>
      <c r="J1090" s="1183"/>
      <c r="K1090" s="1183"/>
      <c r="L1090" s="1183"/>
      <c r="M1090" s="1183"/>
      <c r="N1090" s="1183"/>
      <c r="O1090" s="1183"/>
      <c r="P1090" s="1183"/>
      <c r="Q1090" s="1183"/>
      <c r="R1090" s="1183"/>
      <c r="S1090" s="1182"/>
      <c r="T1090" s="1182"/>
    </row>
    <row r="1091" spans="2:20" s="1003" customFormat="1" ht="24" x14ac:dyDescent="0.25">
      <c r="B1091" s="1168" t="s">
        <v>3597</v>
      </c>
      <c r="C1091" s="1168"/>
      <c r="D1091" s="1168"/>
      <c r="E1091" s="1168"/>
      <c r="F1091" s="1168"/>
      <c r="G1091" s="1169">
        <f>SUM(G1092:G1106)</f>
        <v>414743</v>
      </c>
      <c r="H1091" s="1168"/>
      <c r="I1091" s="1169">
        <f>SUM(I1092:I1106)</f>
        <v>738396.37599999993</v>
      </c>
      <c r="J1091" s="1168"/>
      <c r="K1091" s="1169">
        <f>SUM(K1092:K1106)</f>
        <v>1025150</v>
      </c>
      <c r="L1091" s="1170"/>
      <c r="M1091" s="1169">
        <f>SUM(M1092:M1106)</f>
        <v>1103907.5</v>
      </c>
      <c r="N1091" s="1170"/>
      <c r="O1091" s="1169">
        <f>SUM(O1092:O1106)</f>
        <v>1185052.875</v>
      </c>
      <c r="P1091" s="1170"/>
      <c r="Q1091" s="1169">
        <f>SUM(Q1092:Q1106)</f>
        <v>1275160.76875</v>
      </c>
      <c r="R1091" s="1170"/>
      <c r="S1091" s="1168"/>
      <c r="T1091" s="1168"/>
    </row>
    <row r="1092" spans="2:20" s="1003" customFormat="1" ht="63.75" x14ac:dyDescent="0.25">
      <c r="B1092" s="1171" t="s">
        <v>36</v>
      </c>
      <c r="C1092" s="1172" t="s">
        <v>1488</v>
      </c>
      <c r="D1092" s="1172" t="s">
        <v>19</v>
      </c>
      <c r="E1092" s="1173">
        <v>0</v>
      </c>
      <c r="F1092" s="1172">
        <v>20</v>
      </c>
      <c r="G1092" s="1173">
        <v>55571</v>
      </c>
      <c r="H1092" s="1172">
        <v>20</v>
      </c>
      <c r="I1092" s="1174">
        <v>81089.376000000004</v>
      </c>
      <c r="J1092" s="1172">
        <v>20</v>
      </c>
      <c r="K1092" s="1175">
        <v>81950</v>
      </c>
      <c r="L1092" s="1172">
        <v>20</v>
      </c>
      <c r="M1092" s="1175">
        <f>105%*K1092</f>
        <v>86047.5</v>
      </c>
      <c r="N1092" s="1172">
        <v>20</v>
      </c>
      <c r="O1092" s="1175">
        <f>105%*M1092</f>
        <v>90349.875</v>
      </c>
      <c r="P1092" s="1172">
        <v>20</v>
      </c>
      <c r="Q1092" s="1175">
        <f>105%*O1092</f>
        <v>94867.368750000009</v>
      </c>
      <c r="R1092" s="1172">
        <f>H1092+J1092+L1092+N1092+P1092</f>
        <v>100</v>
      </c>
      <c r="S1092" s="1172" t="s">
        <v>3598</v>
      </c>
      <c r="T1092" s="1172" t="s">
        <v>3598</v>
      </c>
    </row>
    <row r="1093" spans="2:20" s="1003" customFormat="1" ht="60" x14ac:dyDescent="0.25">
      <c r="B1093" s="1171" t="s">
        <v>65</v>
      </c>
      <c r="C1093" s="1172" t="s">
        <v>3234</v>
      </c>
      <c r="D1093" s="1172" t="s">
        <v>19</v>
      </c>
      <c r="E1093" s="1173">
        <v>0</v>
      </c>
      <c r="F1093" s="1172">
        <v>20</v>
      </c>
      <c r="G1093" s="1173">
        <v>27172</v>
      </c>
      <c r="H1093" s="1172">
        <v>20</v>
      </c>
      <c r="I1093" s="2116">
        <v>34633</v>
      </c>
      <c r="J1093" s="1172">
        <v>20</v>
      </c>
      <c r="K1093" s="2119">
        <v>43000</v>
      </c>
      <c r="L1093" s="1172">
        <v>20</v>
      </c>
      <c r="M1093" s="2119">
        <f>105%*K1093</f>
        <v>45150</v>
      </c>
      <c r="N1093" s="1172">
        <v>20</v>
      </c>
      <c r="O1093" s="2119">
        <f>105%*M1093</f>
        <v>47407.5</v>
      </c>
      <c r="P1093" s="1172">
        <v>20</v>
      </c>
      <c r="Q1093" s="2119">
        <f>105%*O1093</f>
        <v>49777.875</v>
      </c>
      <c r="R1093" s="1172">
        <f>H1093+J1093+L1093+N1093+P1093</f>
        <v>100</v>
      </c>
      <c r="S1093" s="1172" t="s">
        <v>3598</v>
      </c>
      <c r="T1093" s="1172" t="s">
        <v>3598</v>
      </c>
    </row>
    <row r="1094" spans="2:20" s="1003" customFormat="1" ht="51" x14ac:dyDescent="0.25">
      <c r="B1094" s="1172"/>
      <c r="C1094" s="1172" t="s">
        <v>3235</v>
      </c>
      <c r="D1094" s="1172" t="s">
        <v>19</v>
      </c>
      <c r="E1094" s="1173">
        <v>0</v>
      </c>
      <c r="F1094" s="1172">
        <v>20</v>
      </c>
      <c r="G1094" s="1189">
        <v>0</v>
      </c>
      <c r="H1094" s="1172">
        <v>20</v>
      </c>
      <c r="I1094" s="2118"/>
      <c r="J1094" s="1172">
        <v>20</v>
      </c>
      <c r="K1094" s="2120"/>
      <c r="L1094" s="1172">
        <v>20</v>
      </c>
      <c r="M1094" s="2120"/>
      <c r="N1094" s="1172">
        <v>20</v>
      </c>
      <c r="O1094" s="2120"/>
      <c r="P1094" s="1172">
        <v>20</v>
      </c>
      <c r="Q1094" s="2120"/>
      <c r="R1094" s="1175">
        <v>100</v>
      </c>
      <c r="S1094" s="1172" t="s">
        <v>3598</v>
      </c>
      <c r="T1094" s="1172" t="s">
        <v>3598</v>
      </c>
    </row>
    <row r="1095" spans="2:20" s="1003" customFormat="1" ht="51" x14ac:dyDescent="0.25">
      <c r="B1095" s="1171" t="s">
        <v>1180</v>
      </c>
      <c r="C1095" s="1172" t="s">
        <v>3599</v>
      </c>
      <c r="D1095" s="1172" t="s">
        <v>324</v>
      </c>
      <c r="E1095" s="1173">
        <v>0</v>
      </c>
      <c r="F1095" s="1173">
        <v>0</v>
      </c>
      <c r="G1095" s="1173">
        <v>0</v>
      </c>
      <c r="H1095" s="1172">
        <v>1</v>
      </c>
      <c r="I1095" s="2116">
        <v>80605</v>
      </c>
      <c r="J1095" s="1172">
        <v>1</v>
      </c>
      <c r="K1095" s="2116">
        <v>64700</v>
      </c>
      <c r="L1095" s="1172">
        <v>1</v>
      </c>
      <c r="M1095" s="2116">
        <f>105%*K1095</f>
        <v>67935</v>
      </c>
      <c r="N1095" s="1172">
        <v>1</v>
      </c>
      <c r="O1095" s="2116">
        <f>105%*M1095</f>
        <v>71331.75</v>
      </c>
      <c r="P1095" s="1172">
        <v>1</v>
      </c>
      <c r="Q1095" s="2116">
        <f>105%*O1095</f>
        <v>74898.337500000009</v>
      </c>
      <c r="R1095" s="1172">
        <f t="shared" ref="R1095:R1105" si="106">H1095+J1095+L1095+N1095+P1095</f>
        <v>5</v>
      </c>
      <c r="S1095" s="1172" t="s">
        <v>3598</v>
      </c>
      <c r="T1095" s="1172" t="s">
        <v>3598</v>
      </c>
    </row>
    <row r="1096" spans="2:20" s="1003" customFormat="1" ht="89.25" x14ac:dyDescent="0.25">
      <c r="B1096" s="1172"/>
      <c r="C1096" s="1172" t="s">
        <v>3600</v>
      </c>
      <c r="D1096" s="1172" t="s">
        <v>610</v>
      </c>
      <c r="E1096" s="1173">
        <v>0</v>
      </c>
      <c r="F1096" s="1173">
        <v>0</v>
      </c>
      <c r="G1096" s="1173">
        <v>0</v>
      </c>
      <c r="H1096" s="1172">
        <v>26</v>
      </c>
      <c r="I1096" s="2117"/>
      <c r="J1096" s="1172">
        <v>26</v>
      </c>
      <c r="K1096" s="2117"/>
      <c r="L1096" s="1172">
        <v>26</v>
      </c>
      <c r="M1096" s="2117"/>
      <c r="N1096" s="1172">
        <v>26</v>
      </c>
      <c r="O1096" s="2117"/>
      <c r="P1096" s="1172">
        <v>26</v>
      </c>
      <c r="Q1096" s="2117"/>
      <c r="R1096" s="1172">
        <f t="shared" si="106"/>
        <v>130</v>
      </c>
      <c r="S1096" s="1172" t="s">
        <v>3598</v>
      </c>
      <c r="T1096" s="1172" t="s">
        <v>3598</v>
      </c>
    </row>
    <row r="1097" spans="2:20" s="1003" customFormat="1" ht="102" x14ac:dyDescent="0.25">
      <c r="B1097" s="1172"/>
      <c r="C1097" s="1172" t="s">
        <v>3601</v>
      </c>
      <c r="D1097" s="1172" t="s">
        <v>8</v>
      </c>
      <c r="E1097" s="1173">
        <v>0</v>
      </c>
      <c r="F1097" s="1173">
        <v>0</v>
      </c>
      <c r="G1097" s="1173">
        <v>0</v>
      </c>
      <c r="H1097" s="1172">
        <v>2</v>
      </c>
      <c r="I1097" s="2118"/>
      <c r="J1097" s="1172">
        <v>2</v>
      </c>
      <c r="K1097" s="2118"/>
      <c r="L1097" s="1172">
        <v>2</v>
      </c>
      <c r="M1097" s="2118"/>
      <c r="N1097" s="1172">
        <v>2</v>
      </c>
      <c r="O1097" s="2118"/>
      <c r="P1097" s="1172">
        <v>2</v>
      </c>
      <c r="Q1097" s="2118"/>
      <c r="R1097" s="1172">
        <f t="shared" si="106"/>
        <v>10</v>
      </c>
      <c r="S1097" s="1172" t="s">
        <v>3598</v>
      </c>
      <c r="T1097" s="1172" t="s">
        <v>3598</v>
      </c>
    </row>
    <row r="1098" spans="2:20" s="1003" customFormat="1" ht="51" x14ac:dyDescent="0.25">
      <c r="B1098" s="1171" t="s">
        <v>1548</v>
      </c>
      <c r="C1098" s="1172" t="s">
        <v>3740</v>
      </c>
      <c r="D1098" s="1172" t="s">
        <v>69</v>
      </c>
      <c r="E1098" s="1173">
        <v>0</v>
      </c>
      <c r="F1098" s="1172">
        <v>4</v>
      </c>
      <c r="G1098" s="1173">
        <v>300000</v>
      </c>
      <c r="H1098" s="1174">
        <v>4</v>
      </c>
      <c r="I1098" s="1174">
        <v>399141</v>
      </c>
      <c r="J1098" s="1172">
        <v>4</v>
      </c>
      <c r="K1098" s="1175">
        <v>620000</v>
      </c>
      <c r="L1098" s="1172">
        <v>4</v>
      </c>
      <c r="M1098" s="1175">
        <v>678500</v>
      </c>
      <c r="N1098" s="1172">
        <v>4</v>
      </c>
      <c r="O1098" s="1175">
        <v>738375</v>
      </c>
      <c r="P1098" s="1172">
        <v>4</v>
      </c>
      <c r="Q1098" s="1175">
        <v>806149</v>
      </c>
      <c r="R1098" s="1172">
        <v>24</v>
      </c>
      <c r="S1098" s="1172" t="s">
        <v>3598</v>
      </c>
      <c r="T1098" s="1172" t="s">
        <v>3598</v>
      </c>
    </row>
    <row r="1099" spans="2:20" s="1003" customFormat="1" ht="51" x14ac:dyDescent="0.25">
      <c r="B1099" s="1171" t="s">
        <v>1690</v>
      </c>
      <c r="C1099" s="1172" t="s">
        <v>3602</v>
      </c>
      <c r="D1099" s="1172" t="s">
        <v>251</v>
      </c>
      <c r="E1099" s="1173">
        <v>0</v>
      </c>
      <c r="F1099" s="1173">
        <v>0</v>
      </c>
      <c r="G1099" s="1173">
        <v>0</v>
      </c>
      <c r="H1099" s="1172">
        <v>5</v>
      </c>
      <c r="I1099" s="1174">
        <v>75040</v>
      </c>
      <c r="J1099" s="1172">
        <v>10</v>
      </c>
      <c r="K1099" s="1175">
        <v>150000</v>
      </c>
      <c r="L1099" s="1172">
        <v>10</v>
      </c>
      <c r="M1099" s="1175">
        <f t="shared" ref="M1099:M1105" si="107">105%*K1099</f>
        <v>157500</v>
      </c>
      <c r="N1099" s="1172">
        <v>10</v>
      </c>
      <c r="O1099" s="1175">
        <f t="shared" ref="O1099:O1105" si="108">105%*M1099</f>
        <v>165375</v>
      </c>
      <c r="P1099" s="1172">
        <v>11</v>
      </c>
      <c r="Q1099" s="1175">
        <f t="shared" ref="Q1099:Q1105" si="109">105%*O1099</f>
        <v>173643.75</v>
      </c>
      <c r="R1099" s="1172">
        <f t="shared" si="106"/>
        <v>46</v>
      </c>
      <c r="S1099" s="1172" t="s">
        <v>3598</v>
      </c>
      <c r="T1099" s="1172" t="s">
        <v>3598</v>
      </c>
    </row>
    <row r="1100" spans="2:20" s="1003" customFormat="1" ht="127.5" x14ac:dyDescent="0.25">
      <c r="B1100" s="1171" t="s">
        <v>3307</v>
      </c>
      <c r="C1100" s="1172" t="s">
        <v>3603</v>
      </c>
      <c r="D1100" s="1172" t="s">
        <v>257</v>
      </c>
      <c r="E1100" s="1173">
        <v>0</v>
      </c>
      <c r="F1100" s="1172">
        <v>3</v>
      </c>
      <c r="G1100" s="1173">
        <v>4500</v>
      </c>
      <c r="H1100" s="1172">
        <v>3</v>
      </c>
      <c r="I1100" s="1174">
        <v>6748</v>
      </c>
      <c r="J1100" s="1172">
        <v>3</v>
      </c>
      <c r="K1100" s="1175">
        <v>7000</v>
      </c>
      <c r="L1100" s="1172">
        <v>3</v>
      </c>
      <c r="M1100" s="1175">
        <f t="shared" si="107"/>
        <v>7350</v>
      </c>
      <c r="N1100" s="1172">
        <v>3</v>
      </c>
      <c r="O1100" s="1175">
        <f t="shared" si="108"/>
        <v>7717.5</v>
      </c>
      <c r="P1100" s="1172">
        <v>3</v>
      </c>
      <c r="Q1100" s="1175">
        <f t="shared" si="109"/>
        <v>8103.375</v>
      </c>
      <c r="R1100" s="1172">
        <f t="shared" si="106"/>
        <v>15</v>
      </c>
      <c r="S1100" s="1172" t="s">
        <v>3598</v>
      </c>
      <c r="T1100" s="1172" t="s">
        <v>3598</v>
      </c>
    </row>
    <row r="1101" spans="2:20" s="1003" customFormat="1" ht="102" x14ac:dyDescent="0.25">
      <c r="B1101" s="1171" t="s">
        <v>763</v>
      </c>
      <c r="C1101" s="1172" t="s">
        <v>3604</v>
      </c>
      <c r="D1101" s="1172" t="s">
        <v>257</v>
      </c>
      <c r="E1101" s="1173">
        <v>0</v>
      </c>
      <c r="F1101" s="1172">
        <v>1</v>
      </c>
      <c r="G1101" s="1173">
        <v>5000</v>
      </c>
      <c r="H1101" s="1172">
        <v>1</v>
      </c>
      <c r="I1101" s="1174">
        <v>5286</v>
      </c>
      <c r="J1101" s="1172">
        <v>1</v>
      </c>
      <c r="K1101" s="1175">
        <v>5500</v>
      </c>
      <c r="L1101" s="1172">
        <v>1</v>
      </c>
      <c r="M1101" s="1175">
        <f t="shared" si="107"/>
        <v>5775</v>
      </c>
      <c r="N1101" s="1172">
        <v>1</v>
      </c>
      <c r="O1101" s="1175">
        <f t="shared" si="108"/>
        <v>6063.75</v>
      </c>
      <c r="P1101" s="1172">
        <v>1</v>
      </c>
      <c r="Q1101" s="1175">
        <f t="shared" si="109"/>
        <v>6366.9375</v>
      </c>
      <c r="R1101" s="1172">
        <f t="shared" si="106"/>
        <v>5</v>
      </c>
      <c r="S1101" s="1172" t="s">
        <v>3598</v>
      </c>
      <c r="T1101" s="1172" t="s">
        <v>3598</v>
      </c>
    </row>
    <row r="1102" spans="2:20" s="1003" customFormat="1" ht="114.75" x14ac:dyDescent="0.25">
      <c r="B1102" s="1171" t="s">
        <v>3605</v>
      </c>
      <c r="C1102" s="1172" t="s">
        <v>3606</v>
      </c>
      <c r="D1102" s="1172" t="s">
        <v>324</v>
      </c>
      <c r="E1102" s="1173">
        <v>0</v>
      </c>
      <c r="F1102" s="1173">
        <v>0</v>
      </c>
      <c r="G1102" s="1173">
        <v>0</v>
      </c>
      <c r="H1102" s="1172">
        <v>10</v>
      </c>
      <c r="I1102" s="1174">
        <v>28521</v>
      </c>
      <c r="J1102" s="1172">
        <v>10</v>
      </c>
      <c r="K1102" s="1175">
        <v>30000</v>
      </c>
      <c r="L1102" s="1172">
        <v>10</v>
      </c>
      <c r="M1102" s="1175">
        <f t="shared" si="107"/>
        <v>31500</v>
      </c>
      <c r="N1102" s="1172">
        <v>10</v>
      </c>
      <c r="O1102" s="1175">
        <f t="shared" si="108"/>
        <v>33075</v>
      </c>
      <c r="P1102" s="1172">
        <v>10</v>
      </c>
      <c r="Q1102" s="1175">
        <f t="shared" si="109"/>
        <v>34728.75</v>
      </c>
      <c r="R1102" s="1172">
        <f t="shared" si="106"/>
        <v>50</v>
      </c>
      <c r="S1102" s="1172" t="s">
        <v>3598</v>
      </c>
      <c r="T1102" s="1172" t="s">
        <v>3598</v>
      </c>
    </row>
    <row r="1103" spans="2:20" s="1003" customFormat="1" ht="60" x14ac:dyDescent="0.25">
      <c r="B1103" s="1171" t="s">
        <v>424</v>
      </c>
      <c r="C1103" s="1172" t="s">
        <v>3607</v>
      </c>
      <c r="D1103" s="1172" t="s">
        <v>324</v>
      </c>
      <c r="E1103" s="1173">
        <v>0</v>
      </c>
      <c r="F1103" s="1172">
        <v>10</v>
      </c>
      <c r="G1103" s="1173">
        <v>3500</v>
      </c>
      <c r="H1103" s="1172">
        <v>10</v>
      </c>
      <c r="I1103" s="1174">
        <v>9954</v>
      </c>
      <c r="J1103" s="1172">
        <v>10</v>
      </c>
      <c r="K1103" s="1175">
        <v>5000</v>
      </c>
      <c r="L1103" s="1172">
        <v>10</v>
      </c>
      <c r="M1103" s="1175">
        <f t="shared" si="107"/>
        <v>5250</v>
      </c>
      <c r="N1103" s="1172">
        <v>10</v>
      </c>
      <c r="O1103" s="1175">
        <f t="shared" si="108"/>
        <v>5512.5</v>
      </c>
      <c r="P1103" s="1172">
        <v>10</v>
      </c>
      <c r="Q1103" s="1175">
        <f t="shared" si="109"/>
        <v>5788.125</v>
      </c>
      <c r="R1103" s="1172">
        <f t="shared" si="106"/>
        <v>50</v>
      </c>
      <c r="S1103" s="1172" t="s">
        <v>3598</v>
      </c>
      <c r="T1103" s="1172" t="s">
        <v>3598</v>
      </c>
    </row>
    <row r="1104" spans="2:20" s="1003" customFormat="1" ht="153" x14ac:dyDescent="0.25">
      <c r="B1104" s="1171" t="s">
        <v>1845</v>
      </c>
      <c r="C1104" s="1172" t="s">
        <v>3608</v>
      </c>
      <c r="D1104" s="1172" t="s">
        <v>2558</v>
      </c>
      <c r="E1104" s="1173">
        <v>0</v>
      </c>
      <c r="F1104" s="1172">
        <v>53</v>
      </c>
      <c r="G1104" s="1173">
        <v>5000</v>
      </c>
      <c r="H1104" s="1172">
        <v>53</v>
      </c>
      <c r="I1104" s="1174">
        <v>6540</v>
      </c>
      <c r="J1104" s="1172">
        <v>53</v>
      </c>
      <c r="K1104" s="1175">
        <v>7000</v>
      </c>
      <c r="L1104" s="1172">
        <v>53</v>
      </c>
      <c r="M1104" s="1175">
        <f t="shared" si="107"/>
        <v>7350</v>
      </c>
      <c r="N1104" s="1172">
        <v>53</v>
      </c>
      <c r="O1104" s="1175">
        <f t="shared" si="108"/>
        <v>7717.5</v>
      </c>
      <c r="P1104" s="1172">
        <v>53</v>
      </c>
      <c r="Q1104" s="1175">
        <f t="shared" si="109"/>
        <v>8103.375</v>
      </c>
      <c r="R1104" s="1172">
        <f t="shared" si="106"/>
        <v>265</v>
      </c>
      <c r="S1104" s="1172" t="s">
        <v>3598</v>
      </c>
      <c r="T1104" s="1172" t="s">
        <v>3598</v>
      </c>
    </row>
    <row r="1105" spans="2:20" s="1003" customFormat="1" ht="89.25" x14ac:dyDescent="0.25">
      <c r="B1105" s="1171" t="s">
        <v>1786</v>
      </c>
      <c r="C1105" s="1172" t="s">
        <v>3609</v>
      </c>
      <c r="D1105" s="1172" t="s">
        <v>427</v>
      </c>
      <c r="E1105" s="1173">
        <v>0</v>
      </c>
      <c r="F1105" s="1172">
        <v>80</v>
      </c>
      <c r="G1105" s="1173">
        <v>10500</v>
      </c>
      <c r="H1105" s="1172">
        <v>80</v>
      </c>
      <c r="I1105" s="1174">
        <v>10839</v>
      </c>
      <c r="J1105" s="1172">
        <v>80</v>
      </c>
      <c r="K1105" s="1175">
        <v>11000</v>
      </c>
      <c r="L1105" s="1172">
        <v>80</v>
      </c>
      <c r="M1105" s="1175">
        <f t="shared" si="107"/>
        <v>11550</v>
      </c>
      <c r="N1105" s="1172">
        <v>80</v>
      </c>
      <c r="O1105" s="1175">
        <f t="shared" si="108"/>
        <v>12127.5</v>
      </c>
      <c r="P1105" s="1172">
        <v>80</v>
      </c>
      <c r="Q1105" s="1175">
        <f t="shared" si="109"/>
        <v>12733.875</v>
      </c>
      <c r="R1105" s="1172">
        <f t="shared" si="106"/>
        <v>400</v>
      </c>
      <c r="S1105" s="1172" t="s">
        <v>3598</v>
      </c>
      <c r="T1105" s="1172" t="s">
        <v>3598</v>
      </c>
    </row>
    <row r="1106" spans="2:20" s="1003" customFormat="1" ht="84" x14ac:dyDescent="0.25">
      <c r="B1106" s="1171" t="s">
        <v>3610</v>
      </c>
      <c r="C1106" s="1172" t="s">
        <v>3611</v>
      </c>
      <c r="D1106" s="1172" t="s">
        <v>427</v>
      </c>
      <c r="E1106" s="1173">
        <v>0</v>
      </c>
      <c r="F1106" s="1172">
        <v>40</v>
      </c>
      <c r="G1106" s="1173">
        <v>3500</v>
      </c>
      <c r="H1106" s="1189">
        <v>0</v>
      </c>
      <c r="I1106" s="1189">
        <v>0</v>
      </c>
      <c r="J1106" s="1189">
        <v>0</v>
      </c>
      <c r="K1106" s="1189">
        <v>0</v>
      </c>
      <c r="L1106" s="1189">
        <v>0</v>
      </c>
      <c r="M1106" s="1189">
        <v>0</v>
      </c>
      <c r="N1106" s="1189">
        <v>0</v>
      </c>
      <c r="O1106" s="1189">
        <v>0</v>
      </c>
      <c r="P1106" s="1189">
        <v>0</v>
      </c>
      <c r="Q1106" s="1189">
        <v>0</v>
      </c>
      <c r="R1106" s="1175">
        <v>1</v>
      </c>
      <c r="S1106" s="1172" t="s">
        <v>3598</v>
      </c>
      <c r="T1106" s="1172" t="s">
        <v>3598</v>
      </c>
    </row>
    <row r="1107" spans="2:20" s="1003" customFormat="1" x14ac:dyDescent="0.25">
      <c r="B1107" s="1005"/>
      <c r="C1107" s="1100"/>
      <c r="D1107" s="1000"/>
      <c r="E1107" s="1001"/>
      <c r="F1107" s="1001"/>
      <c r="G1107" s="1001"/>
      <c r="H1107" s="1001"/>
      <c r="I1107" s="1001"/>
      <c r="J1107" s="1001"/>
      <c r="K1107" s="1001"/>
      <c r="L1107" s="1001"/>
      <c r="M1107" s="1001"/>
      <c r="N1107" s="1001"/>
      <c r="O1107" s="1001"/>
      <c r="P1107" s="1001"/>
      <c r="Q1107" s="1001"/>
      <c r="R1107" s="1001"/>
      <c r="S1107" s="1004"/>
      <c r="T1107" s="1004"/>
    </row>
    <row r="1108" spans="2:20" s="1003" customFormat="1" x14ac:dyDescent="0.25">
      <c r="B1108" s="1167" t="s">
        <v>3612</v>
      </c>
      <c r="C1108" s="1100"/>
      <c r="D1108" s="1000"/>
      <c r="E1108" s="1001"/>
      <c r="F1108" s="1001"/>
      <c r="G1108" s="1001"/>
      <c r="H1108" s="1001"/>
      <c r="I1108" s="1001"/>
      <c r="J1108" s="1001"/>
      <c r="K1108" s="1001"/>
      <c r="L1108" s="1001"/>
      <c r="M1108" s="1001"/>
      <c r="N1108" s="1001"/>
      <c r="O1108" s="1001"/>
      <c r="P1108" s="1001"/>
      <c r="Q1108" s="1001"/>
      <c r="R1108" s="1001"/>
      <c r="S1108" s="1004"/>
      <c r="T1108" s="1004"/>
    </row>
    <row r="1109" spans="2:20" s="1003" customFormat="1" ht="51" customHeight="1" x14ac:dyDescent="0.25">
      <c r="B1109" s="998"/>
      <c r="C1109" s="999" t="s">
        <v>3228</v>
      </c>
      <c r="D1109" s="1025" t="s">
        <v>19</v>
      </c>
      <c r="E1109" s="1001">
        <v>90</v>
      </c>
      <c r="F1109" s="1001">
        <v>93</v>
      </c>
      <c r="G1109" s="1001"/>
      <c r="H1109" s="1001">
        <v>94</v>
      </c>
      <c r="I1109" s="1001"/>
      <c r="J1109" s="1001">
        <v>95</v>
      </c>
      <c r="K1109" s="1001"/>
      <c r="L1109" s="1001">
        <v>96</v>
      </c>
      <c r="M1109" s="1001"/>
      <c r="N1109" s="1001">
        <v>97</v>
      </c>
      <c r="O1109" s="1001"/>
      <c r="P1109" s="1001">
        <v>98</v>
      </c>
      <c r="Q1109" s="1001"/>
      <c r="R1109" s="1001">
        <v>97</v>
      </c>
      <c r="S1109" s="1002"/>
      <c r="T1109" s="1002"/>
    </row>
    <row r="1110" spans="2:20" s="1003" customFormat="1" ht="63.75" x14ac:dyDescent="0.25">
      <c r="B1110" s="1106" t="s">
        <v>3229</v>
      </c>
      <c r="C1110" s="1000" t="s">
        <v>1488</v>
      </c>
      <c r="D1110" s="1025" t="s">
        <v>19</v>
      </c>
      <c r="E1110" s="1001">
        <v>100</v>
      </c>
      <c r="F1110" s="1001">
        <v>20</v>
      </c>
      <c r="G1110" s="1001">
        <f>SUM(G1111:G1123)</f>
        <v>114722</v>
      </c>
      <c r="H1110" s="1001">
        <v>20</v>
      </c>
      <c r="I1110" s="1001">
        <f>SUM(I1111:I1123)</f>
        <v>125000</v>
      </c>
      <c r="J1110" s="1001">
        <v>20</v>
      </c>
      <c r="K1110" s="1001">
        <f>SUM(K1111:K1123)</f>
        <v>134900</v>
      </c>
      <c r="L1110" s="1001">
        <v>20</v>
      </c>
      <c r="M1110" s="1001">
        <f>SUM(M1111:M1123)</f>
        <v>151550</v>
      </c>
      <c r="N1110" s="1001">
        <v>20</v>
      </c>
      <c r="O1110" s="1001">
        <f>SUM(O1111:O1123)</f>
        <v>165900</v>
      </c>
      <c r="P1110" s="1001">
        <v>20</v>
      </c>
      <c r="Q1110" s="1001">
        <f>SUM(Q1111:Q1123)</f>
        <v>180750</v>
      </c>
      <c r="R1110" s="1001">
        <v>100</v>
      </c>
      <c r="S1110" s="1004"/>
      <c r="T1110" s="1004"/>
    </row>
    <row r="1111" spans="2:20" s="1003" customFormat="1" ht="25.5" x14ac:dyDescent="0.25">
      <c r="B1111" s="998" t="s">
        <v>124</v>
      </c>
      <c r="C1111" s="1100" t="s">
        <v>3230</v>
      </c>
      <c r="D1111" s="1025" t="s">
        <v>40</v>
      </c>
      <c r="E1111" s="1001"/>
      <c r="F1111" s="1001">
        <v>12</v>
      </c>
      <c r="G1111" s="1001">
        <v>2225</v>
      </c>
      <c r="H1111" s="1001">
        <v>12</v>
      </c>
      <c r="I1111" s="1001">
        <v>2250</v>
      </c>
      <c r="J1111" s="1001">
        <v>12</v>
      </c>
      <c r="K1111" s="1001">
        <v>2300</v>
      </c>
      <c r="L1111" s="1001">
        <v>12</v>
      </c>
      <c r="M1111" s="1001">
        <v>2350</v>
      </c>
      <c r="N1111" s="1001">
        <v>12</v>
      </c>
      <c r="O1111" s="1001">
        <v>2400</v>
      </c>
      <c r="P1111" s="1001">
        <v>12</v>
      </c>
      <c r="Q1111" s="1001">
        <v>2450</v>
      </c>
      <c r="R1111" s="1001"/>
      <c r="S1111" s="1004"/>
      <c r="T1111" s="1004"/>
    </row>
    <row r="1112" spans="2:20" s="1003" customFormat="1" ht="51" x14ac:dyDescent="0.25">
      <c r="B1112" s="1005" t="s">
        <v>126</v>
      </c>
      <c r="C1112" s="1100" t="s">
        <v>2518</v>
      </c>
      <c r="D1112" s="1025" t="s">
        <v>40</v>
      </c>
      <c r="E1112" s="1001"/>
      <c r="F1112" s="1001">
        <v>12</v>
      </c>
      <c r="G1112" s="1001">
        <v>20117</v>
      </c>
      <c r="H1112" s="1001">
        <v>12</v>
      </c>
      <c r="I1112" s="1001">
        <v>21000</v>
      </c>
      <c r="J1112" s="1001">
        <v>12</v>
      </c>
      <c r="K1112" s="1001">
        <v>23000</v>
      </c>
      <c r="L1112" s="1001">
        <v>12</v>
      </c>
      <c r="M1112" s="1001">
        <v>25000</v>
      </c>
      <c r="N1112" s="1001">
        <v>12</v>
      </c>
      <c r="O1112" s="1001">
        <v>27000</v>
      </c>
      <c r="P1112" s="1001">
        <v>12</v>
      </c>
      <c r="Q1112" s="1001">
        <v>29000</v>
      </c>
      <c r="R1112" s="1001"/>
      <c r="S1112" s="1004"/>
      <c r="T1112" s="1004"/>
    </row>
    <row r="1113" spans="2:20" s="1003" customFormat="1" ht="76.5" x14ac:dyDescent="0.25">
      <c r="B1113" s="1005" t="s">
        <v>3231</v>
      </c>
      <c r="C1113" s="1100" t="s">
        <v>2519</v>
      </c>
      <c r="D1113" s="1025" t="s">
        <v>40</v>
      </c>
      <c r="E1113" s="1001"/>
      <c r="F1113" s="1001">
        <v>12</v>
      </c>
      <c r="G1113" s="1001">
        <v>24000</v>
      </c>
      <c r="H1113" s="1001">
        <v>12</v>
      </c>
      <c r="I1113" s="1001">
        <v>26000</v>
      </c>
      <c r="J1113" s="1001">
        <v>12</v>
      </c>
      <c r="K1113" s="1001">
        <v>28000</v>
      </c>
      <c r="L1113" s="1001">
        <v>12</v>
      </c>
      <c r="M1113" s="1001">
        <v>30000</v>
      </c>
      <c r="N1113" s="1001">
        <v>12</v>
      </c>
      <c r="O1113" s="1001">
        <v>32000</v>
      </c>
      <c r="P1113" s="1001">
        <v>12</v>
      </c>
      <c r="Q1113" s="1001">
        <v>34000</v>
      </c>
      <c r="R1113" s="1001"/>
      <c r="S1113" s="1004"/>
      <c r="T1113" s="1004"/>
    </row>
    <row r="1114" spans="2:20" s="1003" customFormat="1" ht="38.25" x14ac:dyDescent="0.25">
      <c r="B1114" s="1005" t="s">
        <v>45</v>
      </c>
      <c r="C1114" s="1100" t="s">
        <v>2520</v>
      </c>
      <c r="D1114" s="1025" t="s">
        <v>40</v>
      </c>
      <c r="E1114" s="1001"/>
      <c r="F1114" s="1001">
        <v>12</v>
      </c>
      <c r="G1114" s="1001">
        <v>16000</v>
      </c>
      <c r="H1114" s="1001">
        <v>12</v>
      </c>
      <c r="I1114" s="1001">
        <v>18000</v>
      </c>
      <c r="J1114" s="1001">
        <v>12</v>
      </c>
      <c r="K1114" s="1001">
        <v>20000</v>
      </c>
      <c r="L1114" s="1001">
        <v>12</v>
      </c>
      <c r="M1114" s="1001">
        <v>22000</v>
      </c>
      <c r="N1114" s="1001">
        <v>12</v>
      </c>
      <c r="O1114" s="1001">
        <v>24000</v>
      </c>
      <c r="P1114" s="1001">
        <v>12</v>
      </c>
      <c r="Q1114" s="1001">
        <v>26000</v>
      </c>
      <c r="R1114" s="1001"/>
      <c r="S1114" s="1004"/>
      <c r="T1114" s="1004"/>
    </row>
    <row r="1115" spans="2:20" s="1003" customFormat="1" ht="38.25" x14ac:dyDescent="0.25">
      <c r="B1115" s="1005" t="s">
        <v>47</v>
      </c>
      <c r="C1115" s="1100" t="s">
        <v>2521</v>
      </c>
      <c r="D1115" s="1025" t="s">
        <v>40</v>
      </c>
      <c r="E1115" s="1001"/>
      <c r="F1115" s="1001">
        <v>12</v>
      </c>
      <c r="G1115" s="1001">
        <v>1200</v>
      </c>
      <c r="H1115" s="1001">
        <v>12</v>
      </c>
      <c r="I1115" s="1001">
        <v>1300</v>
      </c>
      <c r="J1115" s="1001">
        <v>12</v>
      </c>
      <c r="K1115" s="1001">
        <v>1400</v>
      </c>
      <c r="L1115" s="1001">
        <v>12</v>
      </c>
      <c r="M1115" s="1001">
        <v>1600</v>
      </c>
      <c r="N1115" s="1001">
        <v>12</v>
      </c>
      <c r="O1115" s="1001">
        <v>1800</v>
      </c>
      <c r="P1115" s="1001">
        <v>12</v>
      </c>
      <c r="Q1115" s="1001">
        <v>2000</v>
      </c>
      <c r="R1115" s="1001"/>
      <c r="S1115" s="1004"/>
      <c r="T1115" s="1004"/>
    </row>
    <row r="1116" spans="2:20" s="1003" customFormat="1" ht="51" x14ac:dyDescent="0.25">
      <c r="B1116" s="1005" t="s">
        <v>923</v>
      </c>
      <c r="C1116" s="1100" t="s">
        <v>2522</v>
      </c>
      <c r="D1116" s="1025" t="s">
        <v>40</v>
      </c>
      <c r="E1116" s="1001"/>
      <c r="F1116" s="1001">
        <v>12</v>
      </c>
      <c r="G1116" s="1001">
        <v>2400</v>
      </c>
      <c r="H1116" s="1001">
        <v>12</v>
      </c>
      <c r="I1116" s="1001">
        <v>2600</v>
      </c>
      <c r="J1116" s="1001">
        <v>12</v>
      </c>
      <c r="K1116" s="1001">
        <v>2700</v>
      </c>
      <c r="L1116" s="1001">
        <v>12</v>
      </c>
      <c r="M1116" s="1001">
        <v>7500</v>
      </c>
      <c r="N1116" s="1001">
        <v>12</v>
      </c>
      <c r="O1116" s="1001">
        <v>9000</v>
      </c>
      <c r="P1116" s="1001">
        <v>12</v>
      </c>
      <c r="Q1116" s="1001">
        <v>11000</v>
      </c>
      <c r="R1116" s="1001"/>
      <c r="S1116" s="1004"/>
      <c r="T1116" s="1004"/>
    </row>
    <row r="1117" spans="2:20" s="1003" customFormat="1" ht="38.25" x14ac:dyDescent="0.25">
      <c r="B1117" s="1005" t="s">
        <v>50</v>
      </c>
      <c r="C1117" s="1100" t="s">
        <v>2523</v>
      </c>
      <c r="D1117" s="1025" t="s">
        <v>40</v>
      </c>
      <c r="E1117" s="1001"/>
      <c r="F1117" s="1001">
        <v>12</v>
      </c>
      <c r="G1117" s="1001">
        <v>6000</v>
      </c>
      <c r="H1117" s="1001">
        <v>12</v>
      </c>
      <c r="I1117" s="1001">
        <v>7000</v>
      </c>
      <c r="J1117" s="1001">
        <v>12</v>
      </c>
      <c r="K1117" s="1001">
        <v>7500</v>
      </c>
      <c r="L1117" s="1001">
        <v>12</v>
      </c>
      <c r="M1117" s="1001">
        <v>8000</v>
      </c>
      <c r="N1117" s="1001">
        <v>12</v>
      </c>
      <c r="O1117" s="1001">
        <v>8500</v>
      </c>
      <c r="P1117" s="1001">
        <v>12</v>
      </c>
      <c r="Q1117" s="1001">
        <v>9000</v>
      </c>
      <c r="R1117" s="1001"/>
      <c r="S1117" s="1004"/>
      <c r="T1117" s="1004"/>
    </row>
    <row r="1118" spans="2:20" s="1003" customFormat="1" ht="51" x14ac:dyDescent="0.25">
      <c r="B1118" s="1005" t="s">
        <v>52</v>
      </c>
      <c r="C1118" s="1100" t="s">
        <v>2524</v>
      </c>
      <c r="D1118" s="1025" t="s">
        <v>40</v>
      </c>
      <c r="E1118" s="1001"/>
      <c r="F1118" s="1001">
        <v>12</v>
      </c>
      <c r="G1118" s="1001">
        <v>2900</v>
      </c>
      <c r="H1118" s="1001">
        <v>12</v>
      </c>
      <c r="I1118" s="1001">
        <v>3050</v>
      </c>
      <c r="J1118" s="1001">
        <v>12</v>
      </c>
      <c r="K1118" s="1001">
        <v>3300</v>
      </c>
      <c r="L1118" s="1001">
        <v>12</v>
      </c>
      <c r="M1118" s="1001">
        <v>3500</v>
      </c>
      <c r="N1118" s="1001">
        <v>12</v>
      </c>
      <c r="O1118" s="1001">
        <v>3700</v>
      </c>
      <c r="P1118" s="1001">
        <v>12</v>
      </c>
      <c r="Q1118" s="1001">
        <v>3900</v>
      </c>
      <c r="R1118" s="1001"/>
      <c r="S1118" s="1004"/>
      <c r="T1118" s="1004"/>
    </row>
    <row r="1119" spans="2:20" s="1003" customFormat="1" ht="76.5" x14ac:dyDescent="0.25">
      <c r="B1119" s="1005" t="s">
        <v>782</v>
      </c>
      <c r="C1119" s="1100" t="s">
        <v>2525</v>
      </c>
      <c r="D1119" s="1025" t="s">
        <v>40</v>
      </c>
      <c r="E1119" s="1001"/>
      <c r="F1119" s="1001">
        <v>12</v>
      </c>
      <c r="G1119" s="1001">
        <v>1800</v>
      </c>
      <c r="H1119" s="1001">
        <v>12</v>
      </c>
      <c r="I1119" s="1001">
        <v>2000</v>
      </c>
      <c r="J1119" s="1001">
        <v>12</v>
      </c>
      <c r="K1119" s="1001">
        <v>2100</v>
      </c>
      <c r="L1119" s="1001">
        <v>12</v>
      </c>
      <c r="M1119" s="1001">
        <v>2300</v>
      </c>
      <c r="N1119" s="1001">
        <v>12</v>
      </c>
      <c r="O1119" s="1001">
        <v>2500</v>
      </c>
      <c r="P1119" s="1001">
        <v>12</v>
      </c>
      <c r="Q1119" s="1001">
        <v>2700</v>
      </c>
      <c r="R1119" s="1001"/>
      <c r="S1119" s="1004"/>
      <c r="T1119" s="1004"/>
    </row>
    <row r="1120" spans="2:20" s="1003" customFormat="1" ht="63.75" x14ac:dyDescent="0.25">
      <c r="B1120" s="1005" t="s">
        <v>3232</v>
      </c>
      <c r="C1120" s="1100" t="s">
        <v>2526</v>
      </c>
      <c r="D1120" s="1025" t="s">
        <v>40</v>
      </c>
      <c r="E1120" s="1001"/>
      <c r="F1120" s="1001">
        <v>12</v>
      </c>
      <c r="G1120" s="1001">
        <v>1080</v>
      </c>
      <c r="H1120" s="1001">
        <v>12</v>
      </c>
      <c r="I1120" s="1001">
        <v>1500</v>
      </c>
      <c r="J1120" s="1001">
        <v>12</v>
      </c>
      <c r="K1120" s="1001">
        <v>1600</v>
      </c>
      <c r="L1120" s="1001">
        <v>12</v>
      </c>
      <c r="M1120" s="1001">
        <v>1800</v>
      </c>
      <c r="N1120" s="1001">
        <v>12</v>
      </c>
      <c r="O1120" s="1001">
        <v>2000</v>
      </c>
      <c r="P1120" s="1001">
        <v>12</v>
      </c>
      <c r="Q1120" s="1001">
        <v>2200</v>
      </c>
      <c r="R1120" s="1001"/>
      <c r="S1120" s="1004"/>
      <c r="T1120" s="1004"/>
    </row>
    <row r="1121" spans="2:20" s="1003" customFormat="1" ht="38.25" x14ac:dyDescent="0.25">
      <c r="B1121" s="1005" t="s">
        <v>58</v>
      </c>
      <c r="C1121" s="1100" t="s">
        <v>2527</v>
      </c>
      <c r="D1121" s="1025" t="s">
        <v>40</v>
      </c>
      <c r="E1121" s="1001"/>
      <c r="F1121" s="1001">
        <v>12</v>
      </c>
      <c r="G1121" s="1001">
        <v>14000</v>
      </c>
      <c r="H1121" s="1001">
        <v>12</v>
      </c>
      <c r="I1121" s="1001">
        <v>14800</v>
      </c>
      <c r="J1121" s="1001">
        <v>12</v>
      </c>
      <c r="K1121" s="1001">
        <v>15000</v>
      </c>
      <c r="L1121" s="1001">
        <v>12</v>
      </c>
      <c r="M1121" s="1001">
        <v>17000</v>
      </c>
      <c r="N1121" s="1001">
        <v>12</v>
      </c>
      <c r="O1121" s="1001">
        <v>19000</v>
      </c>
      <c r="P1121" s="1001">
        <v>12</v>
      </c>
      <c r="Q1121" s="1001">
        <v>21000</v>
      </c>
      <c r="R1121" s="1001"/>
      <c r="S1121" s="1004"/>
      <c r="T1121" s="1004"/>
    </row>
    <row r="1122" spans="2:20" s="1003" customFormat="1" ht="51" x14ac:dyDescent="0.25">
      <c r="B1122" s="1005" t="s">
        <v>3233</v>
      </c>
      <c r="C1122" s="1100" t="s">
        <v>2529</v>
      </c>
      <c r="D1122" s="1025" t="s">
        <v>40</v>
      </c>
      <c r="E1122" s="1001"/>
      <c r="F1122" s="1001">
        <v>12</v>
      </c>
      <c r="G1122" s="1001">
        <v>22000</v>
      </c>
      <c r="H1122" s="1001">
        <v>12</v>
      </c>
      <c r="I1122" s="1001">
        <v>24000</v>
      </c>
      <c r="J1122" s="1001">
        <v>12</v>
      </c>
      <c r="K1122" s="1001">
        <v>26000</v>
      </c>
      <c r="L1122" s="1001">
        <v>12</v>
      </c>
      <c r="M1122" s="1001">
        <v>28000</v>
      </c>
      <c r="N1122" s="1001">
        <v>12</v>
      </c>
      <c r="O1122" s="1001">
        <v>31000</v>
      </c>
      <c r="P1122" s="1001">
        <v>12</v>
      </c>
      <c r="Q1122" s="1001">
        <v>34000</v>
      </c>
      <c r="R1122" s="1001"/>
      <c r="S1122" s="1004"/>
      <c r="T1122" s="1004"/>
    </row>
    <row r="1123" spans="2:20" s="1003" customFormat="1" ht="51" x14ac:dyDescent="0.25">
      <c r="B1123" s="1102" t="s">
        <v>137</v>
      </c>
      <c r="C1123" s="1100" t="s">
        <v>2528</v>
      </c>
      <c r="D1123" s="1025" t="s">
        <v>40</v>
      </c>
      <c r="E1123" s="1001"/>
      <c r="F1123" s="1001">
        <v>12</v>
      </c>
      <c r="G1123" s="1001">
        <v>1000</v>
      </c>
      <c r="H1123" s="1001">
        <v>12</v>
      </c>
      <c r="I1123" s="1001">
        <v>1500</v>
      </c>
      <c r="J1123" s="1001">
        <v>12</v>
      </c>
      <c r="K1123" s="1001">
        <v>2000</v>
      </c>
      <c r="L1123" s="1001">
        <v>12</v>
      </c>
      <c r="M1123" s="1001">
        <v>2500</v>
      </c>
      <c r="N1123" s="1001">
        <v>12</v>
      </c>
      <c r="O1123" s="1001">
        <v>3000</v>
      </c>
      <c r="P1123" s="1001">
        <v>12</v>
      </c>
      <c r="Q1123" s="1001">
        <v>3500</v>
      </c>
      <c r="R1123" s="1001"/>
      <c r="S1123" s="1004"/>
      <c r="T1123" s="1004"/>
    </row>
    <row r="1124" spans="2:20" s="1003" customFormat="1" ht="38.25" customHeight="1" x14ac:dyDescent="0.25">
      <c r="B1124" s="1061" t="s">
        <v>65</v>
      </c>
      <c r="C1124" s="999" t="s">
        <v>3234</v>
      </c>
      <c r="D1124" s="1015" t="s">
        <v>19</v>
      </c>
      <c r="E1124" s="1001">
        <v>70</v>
      </c>
      <c r="F1124" s="1001">
        <v>3</v>
      </c>
      <c r="G1124" s="2114">
        <f>SUM(G1126:G1132)</f>
        <v>61700</v>
      </c>
      <c r="H1124" s="1001">
        <v>2</v>
      </c>
      <c r="I1124" s="2114">
        <f>SUM(I1126:I1132)</f>
        <v>51825</v>
      </c>
      <c r="J1124" s="1001">
        <v>3</v>
      </c>
      <c r="K1124" s="2114">
        <f>SUM(K1126:K1132)</f>
        <v>52000</v>
      </c>
      <c r="L1124" s="1001">
        <v>2</v>
      </c>
      <c r="M1124" s="2114">
        <f>SUM(M1126:M1132)</f>
        <v>37000</v>
      </c>
      <c r="N1124" s="1001">
        <v>3</v>
      </c>
      <c r="O1124" s="2114">
        <f>SUM(O1126:O1132)</f>
        <v>40500</v>
      </c>
      <c r="P1124" s="1001">
        <v>2</v>
      </c>
      <c r="Q1124" s="2114">
        <f>SUM(Q1126:Q1132)</f>
        <v>24000</v>
      </c>
      <c r="R1124" s="1001">
        <f>E1124+F1124+H1124+J1124+L1124+N1124</f>
        <v>83</v>
      </c>
      <c r="S1124" s="1004"/>
      <c r="T1124" s="1004"/>
    </row>
    <row r="1125" spans="2:20" s="1003" customFormat="1" ht="38.25" x14ac:dyDescent="0.25">
      <c r="B1125" s="1067"/>
      <c r="C1125" s="999" t="s">
        <v>3235</v>
      </c>
      <c r="D1125" s="1015" t="s">
        <v>19</v>
      </c>
      <c r="E1125" s="1001">
        <v>100</v>
      </c>
      <c r="F1125" s="1001">
        <v>100</v>
      </c>
      <c r="G1125" s="2114"/>
      <c r="H1125" s="1001">
        <v>100</v>
      </c>
      <c r="I1125" s="2114"/>
      <c r="J1125" s="1001">
        <v>100</v>
      </c>
      <c r="K1125" s="2114"/>
      <c r="L1125" s="1001">
        <v>100</v>
      </c>
      <c r="M1125" s="2114"/>
      <c r="N1125" s="1001">
        <v>100</v>
      </c>
      <c r="O1125" s="2114"/>
      <c r="P1125" s="1001">
        <v>100</v>
      </c>
      <c r="Q1125" s="2114"/>
      <c r="R1125" s="1001">
        <v>100</v>
      </c>
      <c r="S1125" s="1004"/>
      <c r="T1125" s="1004"/>
    </row>
    <row r="1126" spans="2:20" s="1003" customFormat="1" x14ac:dyDescent="0.25">
      <c r="B1126" s="1007"/>
      <c r="C1126" s="999"/>
      <c r="D1126" s="1015"/>
      <c r="E1126" s="1001"/>
      <c r="F1126" s="1001">
        <v>0</v>
      </c>
      <c r="G1126" s="1001">
        <v>0</v>
      </c>
      <c r="H1126" s="1001">
        <v>0</v>
      </c>
      <c r="I1126" s="1001"/>
      <c r="J1126" s="1001">
        <v>2</v>
      </c>
      <c r="K1126" s="1001"/>
      <c r="L1126" s="1001">
        <v>2</v>
      </c>
      <c r="M1126" s="1001"/>
      <c r="N1126" s="1001">
        <v>2</v>
      </c>
      <c r="O1126" s="1001"/>
      <c r="P1126" s="1001">
        <v>2</v>
      </c>
      <c r="Q1126" s="1001"/>
      <c r="R1126" s="1001"/>
      <c r="S1126" s="1004"/>
      <c r="T1126" s="1004"/>
    </row>
    <row r="1127" spans="2:20" s="1003" customFormat="1" ht="25.5" x14ac:dyDescent="0.25">
      <c r="B1127" s="998" t="s">
        <v>3236</v>
      </c>
      <c r="C1127" s="1000" t="s">
        <v>2701</v>
      </c>
      <c r="D1127" s="1025" t="s">
        <v>322</v>
      </c>
      <c r="E1127" s="1001"/>
      <c r="F1127" s="1001">
        <v>1</v>
      </c>
      <c r="G1127" s="1001">
        <v>9200</v>
      </c>
      <c r="H1127" s="1001">
        <v>0</v>
      </c>
      <c r="I1127" s="1001">
        <v>0</v>
      </c>
      <c r="J1127" s="1001">
        <v>0</v>
      </c>
      <c r="K1127" s="1001">
        <v>0</v>
      </c>
      <c r="L1127" s="1001">
        <v>0</v>
      </c>
      <c r="M1127" s="1001">
        <v>0</v>
      </c>
      <c r="N1127" s="1001">
        <v>0</v>
      </c>
      <c r="O1127" s="1001">
        <v>0</v>
      </c>
      <c r="P1127" s="1001">
        <v>0</v>
      </c>
      <c r="Q1127" s="1001">
        <v>0</v>
      </c>
      <c r="R1127" s="1001"/>
      <c r="S1127" s="1004"/>
      <c r="T1127" s="1004"/>
    </row>
    <row r="1128" spans="2:20" s="1003" customFormat="1" ht="25.5" x14ac:dyDescent="0.25">
      <c r="B1128" s="998" t="s">
        <v>3236</v>
      </c>
      <c r="C1128" s="1037" t="s">
        <v>3613</v>
      </c>
      <c r="D1128" s="1025" t="s">
        <v>75</v>
      </c>
      <c r="E1128" s="1001"/>
      <c r="F1128" s="1001">
        <v>1</v>
      </c>
      <c r="G1128" s="1001">
        <v>4000</v>
      </c>
      <c r="H1128" s="1001">
        <v>1</v>
      </c>
      <c r="I1128" s="1001">
        <v>4000</v>
      </c>
      <c r="J1128" s="1001">
        <v>4</v>
      </c>
      <c r="K1128" s="1001">
        <v>12000</v>
      </c>
      <c r="L1128" s="1001">
        <v>5</v>
      </c>
      <c r="M1128" s="1001">
        <v>16000</v>
      </c>
      <c r="N1128" s="1001">
        <v>4</v>
      </c>
      <c r="O1128" s="1001">
        <v>20000</v>
      </c>
      <c r="P1128" s="1001">
        <v>0</v>
      </c>
      <c r="Q1128" s="1001">
        <v>0</v>
      </c>
      <c r="R1128" s="1001"/>
      <c r="S1128" s="1004"/>
      <c r="T1128" s="1004"/>
    </row>
    <row r="1129" spans="2:20" s="1003" customFormat="1" ht="38.25" x14ac:dyDescent="0.25">
      <c r="B1129" s="998" t="s">
        <v>3238</v>
      </c>
      <c r="C1129" s="1000" t="s">
        <v>3614</v>
      </c>
      <c r="D1129" s="1025" t="s">
        <v>75</v>
      </c>
      <c r="E1129" s="1001"/>
      <c r="F1129" s="1001">
        <v>3</v>
      </c>
      <c r="G1129" s="1001">
        <v>11500</v>
      </c>
      <c r="H1129" s="1001">
        <v>4</v>
      </c>
      <c r="I1129" s="1001">
        <v>28825</v>
      </c>
      <c r="J1129" s="1001">
        <v>1</v>
      </c>
      <c r="K1129" s="1001">
        <v>7000</v>
      </c>
      <c r="L1129" s="1001">
        <v>1</v>
      </c>
      <c r="M1129" s="1001">
        <v>2000</v>
      </c>
      <c r="N1129" s="1001">
        <v>0</v>
      </c>
      <c r="O1129" s="1001">
        <v>0</v>
      </c>
      <c r="P1129" s="1001">
        <v>0</v>
      </c>
      <c r="Q1129" s="1001">
        <v>0</v>
      </c>
      <c r="R1129" s="1001"/>
      <c r="S1129" s="1004"/>
      <c r="T1129" s="1004"/>
    </row>
    <row r="1130" spans="2:20" s="1003" customFormat="1" ht="38.25" x14ac:dyDescent="0.25">
      <c r="B1130" s="1007" t="s">
        <v>3240</v>
      </c>
      <c r="C1130" s="999" t="s">
        <v>3241</v>
      </c>
      <c r="D1130" s="1015" t="s">
        <v>40</v>
      </c>
      <c r="E1130" s="1001"/>
      <c r="F1130" s="1001">
        <v>12</v>
      </c>
      <c r="G1130" s="1001">
        <v>5000</v>
      </c>
      <c r="H1130" s="1001">
        <v>12</v>
      </c>
      <c r="I1130" s="1001">
        <v>5500</v>
      </c>
      <c r="J1130" s="1001">
        <v>12</v>
      </c>
      <c r="K1130" s="1001">
        <v>6000</v>
      </c>
      <c r="L1130" s="1001">
        <v>12</v>
      </c>
      <c r="M1130" s="1001">
        <v>4500</v>
      </c>
      <c r="N1130" s="1001">
        <v>12</v>
      </c>
      <c r="O1130" s="1001">
        <v>4500</v>
      </c>
      <c r="P1130" s="1001">
        <v>12</v>
      </c>
      <c r="Q1130" s="1001">
        <v>5000</v>
      </c>
      <c r="R1130" s="1001"/>
      <c r="S1130" s="1004"/>
      <c r="T1130" s="1004"/>
    </row>
    <row r="1131" spans="2:20" s="1003" customFormat="1" ht="38.25" x14ac:dyDescent="0.25">
      <c r="B1131" s="1007" t="s">
        <v>3242</v>
      </c>
      <c r="C1131" s="999" t="s">
        <v>3160</v>
      </c>
      <c r="D1131" s="1015" t="s">
        <v>40</v>
      </c>
      <c r="E1131" s="1001"/>
      <c r="F1131" s="1001">
        <v>12</v>
      </c>
      <c r="G1131" s="1001">
        <v>19000</v>
      </c>
      <c r="H1131" s="1001">
        <v>12</v>
      </c>
      <c r="I1131" s="1001">
        <v>7500</v>
      </c>
      <c r="J1131" s="1001">
        <v>12</v>
      </c>
      <c r="K1131" s="1001">
        <v>20000</v>
      </c>
      <c r="L1131" s="1001">
        <v>12</v>
      </c>
      <c r="M1131" s="1001">
        <v>10000</v>
      </c>
      <c r="N1131" s="1001">
        <v>12</v>
      </c>
      <c r="O1131" s="1001">
        <v>11000</v>
      </c>
      <c r="P1131" s="1001">
        <v>12</v>
      </c>
      <c r="Q1131" s="1001">
        <v>12000</v>
      </c>
      <c r="R1131" s="1001"/>
      <c r="S1131" s="1004"/>
      <c r="T1131" s="1004"/>
    </row>
    <row r="1132" spans="2:20" s="1003" customFormat="1" ht="38.25" x14ac:dyDescent="0.25">
      <c r="B1132" s="1007" t="s">
        <v>3576</v>
      </c>
      <c r="C1132" s="999" t="s">
        <v>3577</v>
      </c>
      <c r="D1132" s="1015" t="s">
        <v>40</v>
      </c>
      <c r="E1132" s="1001"/>
      <c r="F1132" s="1001">
        <v>12</v>
      </c>
      <c r="G1132" s="1001">
        <v>13000</v>
      </c>
      <c r="H1132" s="1001">
        <v>12</v>
      </c>
      <c r="I1132" s="1001">
        <v>6000</v>
      </c>
      <c r="J1132" s="1001">
        <v>12</v>
      </c>
      <c r="K1132" s="1001">
        <v>7000</v>
      </c>
      <c r="L1132" s="1001">
        <v>12</v>
      </c>
      <c r="M1132" s="1001">
        <v>4500</v>
      </c>
      <c r="N1132" s="1001">
        <v>12</v>
      </c>
      <c r="O1132" s="1001">
        <v>5000</v>
      </c>
      <c r="P1132" s="1001">
        <v>12</v>
      </c>
      <c r="Q1132" s="1001">
        <v>7000</v>
      </c>
      <c r="R1132" s="1001"/>
      <c r="S1132" s="1004"/>
      <c r="T1132" s="1004"/>
    </row>
    <row r="1133" spans="2:20" s="1003" customFormat="1" ht="63.75" x14ac:dyDescent="0.25">
      <c r="B1133" s="1106" t="s">
        <v>3245</v>
      </c>
      <c r="C1133" s="1000" t="s">
        <v>3246</v>
      </c>
      <c r="D1133" s="1025" t="s">
        <v>79</v>
      </c>
      <c r="E1133" s="1001">
        <v>10</v>
      </c>
      <c r="F1133" s="1001">
        <f>F1134</f>
        <v>2</v>
      </c>
      <c r="G1133" s="1001">
        <f>G1134</f>
        <v>3200</v>
      </c>
      <c r="H1133" s="1001">
        <f t="shared" ref="H1133:Q1133" si="110">H1134</f>
        <v>2</v>
      </c>
      <c r="I1133" s="1001">
        <f t="shared" si="110"/>
        <v>3500</v>
      </c>
      <c r="J1133" s="1001">
        <f t="shared" si="110"/>
        <v>2</v>
      </c>
      <c r="K1133" s="1001">
        <f t="shared" si="110"/>
        <v>3800</v>
      </c>
      <c r="L1133" s="1001">
        <f t="shared" si="110"/>
        <v>2</v>
      </c>
      <c r="M1133" s="1001">
        <f t="shared" si="110"/>
        <v>4100</v>
      </c>
      <c r="N1133" s="1001">
        <f t="shared" si="110"/>
        <v>2</v>
      </c>
      <c r="O1133" s="1001">
        <f t="shared" si="110"/>
        <v>4400</v>
      </c>
      <c r="P1133" s="1001">
        <f t="shared" si="110"/>
        <v>2</v>
      </c>
      <c r="Q1133" s="1001">
        <f t="shared" si="110"/>
        <v>4700</v>
      </c>
      <c r="R1133" s="1001">
        <f>E1133+F1133+H1133+J1133+L1133+N1133</f>
        <v>20</v>
      </c>
      <c r="S1133" s="1004"/>
      <c r="T1133" s="1004"/>
    </row>
    <row r="1134" spans="2:20" s="1003" customFormat="1" ht="102" x14ac:dyDescent="0.25">
      <c r="B1134" s="998" t="s">
        <v>80</v>
      </c>
      <c r="C1134" s="1000" t="s">
        <v>3247</v>
      </c>
      <c r="D1134" s="1025" t="s">
        <v>79</v>
      </c>
      <c r="E1134" s="1001"/>
      <c r="F1134" s="1001">
        <v>2</v>
      </c>
      <c r="G1134" s="1001">
        <v>3200</v>
      </c>
      <c r="H1134" s="1001">
        <v>2</v>
      </c>
      <c r="I1134" s="1001">
        <v>3500</v>
      </c>
      <c r="J1134" s="1001">
        <v>2</v>
      </c>
      <c r="K1134" s="1001">
        <v>3800</v>
      </c>
      <c r="L1134" s="1001">
        <v>2</v>
      </c>
      <c r="M1134" s="1001">
        <v>4100</v>
      </c>
      <c r="N1134" s="1001">
        <v>2</v>
      </c>
      <c r="O1134" s="1001">
        <v>4400</v>
      </c>
      <c r="P1134" s="1001">
        <v>2</v>
      </c>
      <c r="Q1134" s="1001">
        <v>4700</v>
      </c>
      <c r="R1134" s="1001"/>
      <c r="S1134" s="1004"/>
      <c r="T1134" s="1004"/>
    </row>
    <row r="1135" spans="2:20" s="1003" customFormat="1" ht="48" x14ac:dyDescent="0.25">
      <c r="B1135" s="1106" t="s">
        <v>3248</v>
      </c>
      <c r="C1135" s="1000" t="s">
        <v>3249</v>
      </c>
      <c r="D1135" s="1025" t="s">
        <v>79</v>
      </c>
      <c r="E1135" s="1001">
        <v>5</v>
      </c>
      <c r="F1135" s="1001">
        <v>1</v>
      </c>
      <c r="G1135" s="1001">
        <f>G1136</f>
        <v>6400</v>
      </c>
      <c r="H1135" s="1001">
        <f t="shared" ref="H1135:Q1135" si="111">H1136</f>
        <v>1</v>
      </c>
      <c r="I1135" s="1001">
        <f t="shared" si="111"/>
        <v>7200</v>
      </c>
      <c r="J1135" s="1001">
        <f t="shared" si="111"/>
        <v>2</v>
      </c>
      <c r="K1135" s="1001">
        <f t="shared" si="111"/>
        <v>7800</v>
      </c>
      <c r="L1135" s="1001">
        <f t="shared" si="111"/>
        <v>2</v>
      </c>
      <c r="M1135" s="1001">
        <f t="shared" si="111"/>
        <v>8400</v>
      </c>
      <c r="N1135" s="1001">
        <f t="shared" si="111"/>
        <v>2</v>
      </c>
      <c r="O1135" s="1001">
        <f t="shared" si="111"/>
        <v>8800</v>
      </c>
      <c r="P1135" s="1001">
        <f t="shared" si="111"/>
        <v>2</v>
      </c>
      <c r="Q1135" s="1001">
        <f t="shared" si="111"/>
        <v>9200</v>
      </c>
      <c r="R1135" s="1001">
        <f>E1135+F1135+H1135+J1135+L1135+N1135</f>
        <v>13</v>
      </c>
      <c r="S1135" s="1004"/>
      <c r="T1135" s="1004"/>
    </row>
    <row r="1136" spans="2:20" s="1003" customFormat="1" ht="63.75" x14ac:dyDescent="0.25">
      <c r="B1136" s="998" t="s">
        <v>1712</v>
      </c>
      <c r="C1136" s="1000" t="s">
        <v>3250</v>
      </c>
      <c r="D1136" s="1025"/>
      <c r="E1136" s="1001"/>
      <c r="F1136" s="1001">
        <v>1</v>
      </c>
      <c r="G1136" s="1001">
        <v>6400</v>
      </c>
      <c r="H1136" s="1001">
        <v>1</v>
      </c>
      <c r="I1136" s="1001">
        <v>7200</v>
      </c>
      <c r="J1136" s="1001">
        <v>2</v>
      </c>
      <c r="K1136" s="1001">
        <v>7800</v>
      </c>
      <c r="L1136" s="1001">
        <v>2</v>
      </c>
      <c r="M1136" s="1001">
        <v>8400</v>
      </c>
      <c r="N1136" s="1001">
        <v>2</v>
      </c>
      <c r="O1136" s="1001">
        <v>8800</v>
      </c>
      <c r="P1136" s="1001">
        <v>2</v>
      </c>
      <c r="Q1136" s="1001">
        <v>9200</v>
      </c>
      <c r="R1136" s="1001"/>
      <c r="S1136" s="1004"/>
      <c r="T1136" s="1004"/>
    </row>
    <row r="1137" spans="2:20" s="1003" customFormat="1" ht="63.75" customHeight="1" x14ac:dyDescent="0.25">
      <c r="B1137" s="1065" t="s">
        <v>3251</v>
      </c>
      <c r="C1137" s="1000" t="s">
        <v>3252</v>
      </c>
      <c r="D1137" s="1025" t="s">
        <v>79</v>
      </c>
      <c r="E1137" s="1001">
        <v>5</v>
      </c>
      <c r="F1137" s="1001">
        <v>1</v>
      </c>
      <c r="G1137" s="2114">
        <f>SUM(G1139:G1140)</f>
        <v>18400</v>
      </c>
      <c r="H1137" s="1001">
        <v>1</v>
      </c>
      <c r="I1137" s="2114">
        <f>SUM(I1139:I1140)</f>
        <v>20500</v>
      </c>
      <c r="J1137" s="1001">
        <v>1</v>
      </c>
      <c r="K1137" s="2114">
        <f>SUM(K1139:K1140)</f>
        <v>23000</v>
      </c>
      <c r="L1137" s="1001">
        <v>1</v>
      </c>
      <c r="M1137" s="2114">
        <f>SUM(M1139:M1140)</f>
        <v>25500</v>
      </c>
      <c r="N1137" s="1001">
        <v>1</v>
      </c>
      <c r="O1137" s="2114">
        <f>SUM(O1139:O1140)</f>
        <v>28000</v>
      </c>
      <c r="P1137" s="1001">
        <v>1</v>
      </c>
      <c r="Q1137" s="2114">
        <f>SUM(Q1139:Q1140)</f>
        <v>30500</v>
      </c>
      <c r="R1137" s="1001">
        <f>E1137+F1137+H1137+J1137+L1137+N1137</f>
        <v>10</v>
      </c>
      <c r="S1137" s="1004"/>
      <c r="T1137" s="1004"/>
    </row>
    <row r="1138" spans="2:20" s="1003" customFormat="1" ht="38.25" x14ac:dyDescent="0.25">
      <c r="B1138" s="1066"/>
      <c r="C1138" s="1000" t="s">
        <v>3253</v>
      </c>
      <c r="D1138" s="1025" t="s">
        <v>79</v>
      </c>
      <c r="E1138" s="1001">
        <v>5</v>
      </c>
      <c r="F1138" s="1001">
        <v>1</v>
      </c>
      <c r="G1138" s="2114"/>
      <c r="H1138" s="1001">
        <v>1</v>
      </c>
      <c r="I1138" s="2114"/>
      <c r="J1138" s="1001">
        <v>1</v>
      </c>
      <c r="K1138" s="2114"/>
      <c r="L1138" s="1001">
        <v>1</v>
      </c>
      <c r="M1138" s="2114"/>
      <c r="N1138" s="1001">
        <v>1</v>
      </c>
      <c r="O1138" s="2114"/>
      <c r="P1138" s="1001">
        <v>1</v>
      </c>
      <c r="Q1138" s="2114"/>
      <c r="R1138" s="1001">
        <f>E1138+F1138+H1138+J1138+L1138+N1138</f>
        <v>10</v>
      </c>
      <c r="S1138" s="1004"/>
      <c r="T1138" s="1004"/>
    </row>
    <row r="1139" spans="2:20" s="1003" customFormat="1" ht="38.25" x14ac:dyDescent="0.25">
      <c r="B1139" s="998" t="s">
        <v>3254</v>
      </c>
      <c r="C1139" s="1000" t="s">
        <v>3255</v>
      </c>
      <c r="D1139" s="1025" t="s">
        <v>103</v>
      </c>
      <c r="E1139" s="1001"/>
      <c r="F1139" s="1001">
        <v>1</v>
      </c>
      <c r="G1139" s="1001">
        <v>14400</v>
      </c>
      <c r="H1139" s="1001">
        <v>1</v>
      </c>
      <c r="I1139" s="1001">
        <v>16000</v>
      </c>
      <c r="J1139" s="1001">
        <v>1</v>
      </c>
      <c r="K1139" s="1001">
        <v>18000</v>
      </c>
      <c r="L1139" s="1001">
        <v>1</v>
      </c>
      <c r="M1139" s="1001">
        <v>20000</v>
      </c>
      <c r="N1139" s="1001">
        <v>1</v>
      </c>
      <c r="O1139" s="1001">
        <v>22000</v>
      </c>
      <c r="P1139" s="1001">
        <v>1</v>
      </c>
      <c r="Q1139" s="1001">
        <v>24000</v>
      </c>
      <c r="R1139" s="1001"/>
      <c r="S1139" s="1004"/>
      <c r="T1139" s="1004"/>
    </row>
    <row r="1140" spans="2:20" s="1003" customFormat="1" ht="51" x14ac:dyDescent="0.25">
      <c r="B1140" s="998" t="s">
        <v>3256</v>
      </c>
      <c r="C1140" s="1000" t="s">
        <v>3257</v>
      </c>
      <c r="D1140" s="1025" t="s">
        <v>103</v>
      </c>
      <c r="E1140" s="1001"/>
      <c r="F1140" s="1001">
        <v>1</v>
      </c>
      <c r="G1140" s="1001">
        <v>4000</v>
      </c>
      <c r="H1140" s="1001">
        <v>1</v>
      </c>
      <c r="I1140" s="1001">
        <v>4500</v>
      </c>
      <c r="J1140" s="1001">
        <v>1</v>
      </c>
      <c r="K1140" s="1001">
        <v>5000</v>
      </c>
      <c r="L1140" s="1001">
        <v>1</v>
      </c>
      <c r="M1140" s="1001">
        <v>5500</v>
      </c>
      <c r="N1140" s="1001">
        <v>1</v>
      </c>
      <c r="O1140" s="1001">
        <v>6000</v>
      </c>
      <c r="P1140" s="1001">
        <v>1</v>
      </c>
      <c r="Q1140" s="1001">
        <v>6500</v>
      </c>
      <c r="R1140" s="1001"/>
      <c r="S1140" s="1004"/>
      <c r="T1140" s="1004"/>
    </row>
    <row r="1141" spans="2:20" s="1003" customFormat="1" ht="51" x14ac:dyDescent="0.25">
      <c r="B1141" s="1106" t="s">
        <v>3420</v>
      </c>
      <c r="C1141" s="1000" t="s">
        <v>3386</v>
      </c>
      <c r="D1141" s="1025" t="s">
        <v>19</v>
      </c>
      <c r="E1141" s="1001">
        <v>100</v>
      </c>
      <c r="F1141" s="1001">
        <v>100</v>
      </c>
      <c r="G1141" s="1001">
        <f>G1142</f>
        <v>42000</v>
      </c>
      <c r="H1141" s="1001">
        <v>100</v>
      </c>
      <c r="I1141" s="1001">
        <f>I1142</f>
        <v>51000</v>
      </c>
      <c r="J1141" s="1001">
        <v>100</v>
      </c>
      <c r="K1141" s="1001">
        <f>K1142</f>
        <v>55000</v>
      </c>
      <c r="L1141" s="1001">
        <v>100</v>
      </c>
      <c r="M1141" s="1001">
        <f>M1142</f>
        <v>59000</v>
      </c>
      <c r="N1141" s="1001">
        <v>100</v>
      </c>
      <c r="O1141" s="1001">
        <f>O1142</f>
        <v>63000</v>
      </c>
      <c r="P1141" s="1001">
        <v>100</v>
      </c>
      <c r="Q1141" s="1001">
        <f>Q1142</f>
        <v>67000</v>
      </c>
      <c r="R1141" s="1001">
        <v>100</v>
      </c>
      <c r="S1141" s="1004"/>
      <c r="T1141" s="1004"/>
    </row>
    <row r="1142" spans="2:20" s="1003" customFormat="1" ht="25.5" x14ac:dyDescent="0.25">
      <c r="B1142" s="998" t="s">
        <v>3421</v>
      </c>
      <c r="C1142" s="1000" t="s">
        <v>3422</v>
      </c>
      <c r="D1142" s="1025" t="s">
        <v>40</v>
      </c>
      <c r="E1142" s="1001"/>
      <c r="F1142" s="1001">
        <v>12</v>
      </c>
      <c r="G1142" s="1001">
        <v>42000</v>
      </c>
      <c r="H1142" s="1001">
        <v>12</v>
      </c>
      <c r="I1142" s="1001">
        <v>51000</v>
      </c>
      <c r="J1142" s="1001">
        <v>12</v>
      </c>
      <c r="K1142" s="1001">
        <v>55000</v>
      </c>
      <c r="L1142" s="1001">
        <v>12</v>
      </c>
      <c r="M1142" s="1001">
        <v>59000</v>
      </c>
      <c r="N1142" s="1001">
        <v>12</v>
      </c>
      <c r="O1142" s="1001">
        <v>63000</v>
      </c>
      <c r="P1142" s="1001">
        <v>12</v>
      </c>
      <c r="Q1142" s="1001">
        <v>67000</v>
      </c>
      <c r="R1142" s="1001"/>
      <c r="S1142" s="1004"/>
      <c r="T1142" s="1004"/>
    </row>
    <row r="1143" spans="2:20" s="1003" customFormat="1" ht="84" x14ac:dyDescent="0.25">
      <c r="B1143" s="1106" t="s">
        <v>1743</v>
      </c>
      <c r="C1143" s="1000" t="s">
        <v>3265</v>
      </c>
      <c r="D1143" s="1025" t="s">
        <v>19</v>
      </c>
      <c r="E1143" s="1001">
        <v>50</v>
      </c>
      <c r="F1143" s="1001">
        <v>60</v>
      </c>
      <c r="G1143" s="1001">
        <f>SUM(G1144:G1146)</f>
        <v>43000</v>
      </c>
      <c r="H1143" s="1001">
        <v>70</v>
      </c>
      <c r="I1143" s="1001">
        <f>SUM(I1144:I1146)</f>
        <v>30400</v>
      </c>
      <c r="J1143" s="1001">
        <v>80</v>
      </c>
      <c r="K1143" s="1001">
        <f>SUM(K1144:K1146)</f>
        <v>32400</v>
      </c>
      <c r="L1143" s="1001">
        <v>90</v>
      </c>
      <c r="M1143" s="1001">
        <f>SUM(M1144:M1146)</f>
        <v>34400</v>
      </c>
      <c r="N1143" s="1001">
        <v>100</v>
      </c>
      <c r="O1143" s="1001">
        <f>SUM(O1144:O1146)</f>
        <v>36800</v>
      </c>
      <c r="P1143" s="1001">
        <v>100</v>
      </c>
      <c r="Q1143" s="1001">
        <f>SUM(Q1144:Q1146)</f>
        <v>38800</v>
      </c>
      <c r="R1143" s="1001">
        <v>100</v>
      </c>
      <c r="S1143" s="1004"/>
      <c r="T1143" s="1004"/>
    </row>
    <row r="1144" spans="2:20" s="1003" customFormat="1" ht="25.5" x14ac:dyDescent="0.25">
      <c r="B1144" s="998" t="s">
        <v>3266</v>
      </c>
      <c r="C1144" s="1000" t="s">
        <v>3267</v>
      </c>
      <c r="D1144" s="1025" t="s">
        <v>103</v>
      </c>
      <c r="E1144" s="1001"/>
      <c r="F1144" s="1001">
        <v>16</v>
      </c>
      <c r="G1144" s="1001">
        <v>35000</v>
      </c>
      <c r="H1144" s="1001">
        <v>16</v>
      </c>
      <c r="I1144" s="1001">
        <v>22400</v>
      </c>
      <c r="J1144" s="1001">
        <v>16</v>
      </c>
      <c r="K1144" s="1001">
        <v>24000</v>
      </c>
      <c r="L1144" s="1001">
        <v>16</v>
      </c>
      <c r="M1144" s="1001">
        <v>26000</v>
      </c>
      <c r="N1144" s="1001">
        <v>16</v>
      </c>
      <c r="O1144" s="1001">
        <v>28000</v>
      </c>
      <c r="P1144" s="1001">
        <v>16</v>
      </c>
      <c r="Q1144" s="1001">
        <v>30000</v>
      </c>
      <c r="R1144" s="1001"/>
      <c r="S1144" s="1004"/>
      <c r="T1144" s="1004"/>
    </row>
    <row r="1145" spans="2:20" s="1003" customFormat="1" ht="76.5" x14ac:dyDescent="0.25">
      <c r="B1145" s="998" t="s">
        <v>3390</v>
      </c>
      <c r="C1145" s="1000" t="s">
        <v>3273</v>
      </c>
      <c r="D1145" s="1025" t="s">
        <v>103</v>
      </c>
      <c r="E1145" s="1001"/>
      <c r="F1145" s="1001">
        <v>16</v>
      </c>
      <c r="G1145" s="1001">
        <v>8000</v>
      </c>
      <c r="H1145" s="1001">
        <v>16</v>
      </c>
      <c r="I1145" s="1001">
        <v>8000</v>
      </c>
      <c r="J1145" s="1001">
        <v>16</v>
      </c>
      <c r="K1145" s="1001">
        <v>8400</v>
      </c>
      <c r="L1145" s="1001">
        <v>16</v>
      </c>
      <c r="M1145" s="1001">
        <v>8400</v>
      </c>
      <c r="N1145" s="1001">
        <v>16</v>
      </c>
      <c r="O1145" s="1001">
        <v>8800</v>
      </c>
      <c r="P1145" s="1001">
        <v>16</v>
      </c>
      <c r="Q1145" s="1001">
        <v>8800</v>
      </c>
      <c r="R1145" s="1001"/>
      <c r="S1145" s="1004"/>
      <c r="T1145" s="1004"/>
    </row>
    <row r="1146" spans="2:20" s="1003" customFormat="1" ht="38.25" x14ac:dyDescent="0.25">
      <c r="B1146" s="998" t="s">
        <v>1752</v>
      </c>
      <c r="C1146" s="1000"/>
      <c r="D1146" s="1025"/>
      <c r="E1146" s="1001">
        <v>0</v>
      </c>
      <c r="F1146" s="1001">
        <v>0</v>
      </c>
      <c r="G1146" s="1001">
        <v>0</v>
      </c>
      <c r="H1146" s="1001">
        <v>0</v>
      </c>
      <c r="I1146" s="1001">
        <v>0</v>
      </c>
      <c r="J1146" s="1001">
        <v>0</v>
      </c>
      <c r="K1146" s="1001">
        <v>0</v>
      </c>
      <c r="L1146" s="1001">
        <v>0</v>
      </c>
      <c r="M1146" s="1001">
        <v>0</v>
      </c>
      <c r="N1146" s="1001">
        <v>0</v>
      </c>
      <c r="O1146" s="1001">
        <v>0</v>
      </c>
      <c r="P1146" s="1001">
        <v>0</v>
      </c>
      <c r="Q1146" s="1001">
        <v>0</v>
      </c>
      <c r="R1146" s="1001"/>
      <c r="S1146" s="1004"/>
      <c r="T1146" s="1004"/>
    </row>
    <row r="1147" spans="2:20" s="1003" customFormat="1" ht="76.5" customHeight="1" x14ac:dyDescent="0.25">
      <c r="B1147" s="1063" t="s">
        <v>3425</v>
      </c>
      <c r="C1147" s="1000" t="s">
        <v>3274</v>
      </c>
      <c r="D1147" s="1025" t="s">
        <v>79</v>
      </c>
      <c r="E1147" s="1001">
        <v>1</v>
      </c>
      <c r="F1147" s="1001">
        <v>1</v>
      </c>
      <c r="G1147" s="1001">
        <f>G1148</f>
        <v>4800</v>
      </c>
      <c r="H1147" s="1001">
        <v>1</v>
      </c>
      <c r="I1147" s="1001">
        <f>I1148</f>
        <v>5600</v>
      </c>
      <c r="J1147" s="1001">
        <v>1</v>
      </c>
      <c r="K1147" s="1001">
        <f>K1148</f>
        <v>6000</v>
      </c>
      <c r="L1147" s="1001">
        <v>1</v>
      </c>
      <c r="M1147" s="1001">
        <f>M1148</f>
        <v>6400</v>
      </c>
      <c r="N1147" s="1001">
        <v>1</v>
      </c>
      <c r="O1147" s="1001">
        <f>O1148</f>
        <v>7000</v>
      </c>
      <c r="P1147" s="1001">
        <v>1</v>
      </c>
      <c r="Q1147" s="1001">
        <f>Q1148</f>
        <v>7400</v>
      </c>
      <c r="R1147" s="1001">
        <f>E1147+F1147+H1147+J1147+L1147+N1147</f>
        <v>6</v>
      </c>
      <c r="S1147" s="1004"/>
      <c r="T1147" s="1004"/>
    </row>
    <row r="1148" spans="2:20" s="1003" customFormat="1" ht="25.5" x14ac:dyDescent="0.25">
      <c r="B1148" s="1008" t="s">
        <v>3277</v>
      </c>
      <c r="C1148" s="1000" t="s">
        <v>3278</v>
      </c>
      <c r="D1148" s="1025" t="s">
        <v>103</v>
      </c>
      <c r="E1148" s="1001"/>
      <c r="F1148" s="1001">
        <v>12</v>
      </c>
      <c r="G1148" s="1001">
        <v>4800</v>
      </c>
      <c r="H1148" s="1001">
        <v>12</v>
      </c>
      <c r="I1148" s="1001">
        <v>5600</v>
      </c>
      <c r="J1148" s="1001">
        <v>12</v>
      </c>
      <c r="K1148" s="1001">
        <v>6000</v>
      </c>
      <c r="L1148" s="1001">
        <v>12</v>
      </c>
      <c r="M1148" s="1001">
        <v>6400</v>
      </c>
      <c r="N1148" s="1001">
        <v>12</v>
      </c>
      <c r="O1148" s="1001">
        <v>7000</v>
      </c>
      <c r="P1148" s="1001">
        <v>12</v>
      </c>
      <c r="Q1148" s="1001">
        <v>7400</v>
      </c>
      <c r="R1148" s="1001"/>
      <c r="S1148" s="1004"/>
      <c r="T1148" s="1004"/>
    </row>
    <row r="1149" spans="2:20" s="1003" customFormat="1" ht="63.75" customHeight="1" x14ac:dyDescent="0.25">
      <c r="B1149" s="1063" t="s">
        <v>3280</v>
      </c>
      <c r="C1149" s="1000" t="s">
        <v>3279</v>
      </c>
      <c r="D1149" s="1025" t="s">
        <v>327</v>
      </c>
      <c r="E1149" s="1001">
        <v>16</v>
      </c>
      <c r="F1149" s="1001">
        <v>20</v>
      </c>
      <c r="G1149" s="1001">
        <f>SUM(G1150:G1151)</f>
        <v>9500</v>
      </c>
      <c r="H1149" s="1001">
        <v>24</v>
      </c>
      <c r="I1149" s="1001">
        <f>SUM(I1150:I1151)</f>
        <v>10900</v>
      </c>
      <c r="J1149" s="1001">
        <v>28</v>
      </c>
      <c r="K1149" s="1001">
        <f>SUM(K1150:K1151)</f>
        <v>12000</v>
      </c>
      <c r="L1149" s="1001">
        <v>32</v>
      </c>
      <c r="M1149" s="1001">
        <f>SUM(M1150:M1151)</f>
        <v>13100</v>
      </c>
      <c r="N1149" s="1001">
        <v>36</v>
      </c>
      <c r="O1149" s="1001">
        <f>SUM(O1150:O1151)</f>
        <v>14000</v>
      </c>
      <c r="P1149" s="1001">
        <v>40</v>
      </c>
      <c r="Q1149" s="1001">
        <f>SUM(Q1150:Q1151)</f>
        <v>15100</v>
      </c>
      <c r="R1149" s="1001">
        <f>N1149</f>
        <v>36</v>
      </c>
      <c r="S1149" s="1004"/>
      <c r="T1149" s="1004"/>
    </row>
    <row r="1150" spans="2:20" s="1003" customFormat="1" ht="38.25" x14ac:dyDescent="0.25">
      <c r="B1150" s="1008" t="s">
        <v>1298</v>
      </c>
      <c r="C1150" s="1000" t="s">
        <v>3281</v>
      </c>
      <c r="D1150" s="1025" t="s">
        <v>327</v>
      </c>
      <c r="E1150" s="1001"/>
      <c r="F1150" s="1001">
        <v>16</v>
      </c>
      <c r="G1150" s="1001">
        <v>5500</v>
      </c>
      <c r="H1150" s="1001">
        <v>16</v>
      </c>
      <c r="I1150" s="1001">
        <v>6400</v>
      </c>
      <c r="J1150" s="1001">
        <v>16</v>
      </c>
      <c r="K1150" s="1001">
        <v>7000</v>
      </c>
      <c r="L1150" s="1001">
        <v>16</v>
      </c>
      <c r="M1150" s="1001">
        <v>7600</v>
      </c>
      <c r="N1150" s="1001">
        <v>16</v>
      </c>
      <c r="O1150" s="1001">
        <v>8000</v>
      </c>
      <c r="P1150" s="1001">
        <v>16</v>
      </c>
      <c r="Q1150" s="1001">
        <v>8600</v>
      </c>
      <c r="R1150" s="1001"/>
      <c r="S1150" s="1004"/>
      <c r="T1150" s="1004"/>
    </row>
    <row r="1151" spans="2:20" s="1003" customFormat="1" ht="38.25" x14ac:dyDescent="0.25">
      <c r="B1151" s="1008" t="s">
        <v>3282</v>
      </c>
      <c r="C1151" s="1000" t="s">
        <v>3283</v>
      </c>
      <c r="D1151" s="1025" t="s">
        <v>327</v>
      </c>
      <c r="E1151" s="1001"/>
      <c r="F1151" s="1001">
        <v>1</v>
      </c>
      <c r="G1151" s="1001">
        <v>4000</v>
      </c>
      <c r="H1151" s="1001">
        <v>1</v>
      </c>
      <c r="I1151" s="1001">
        <v>4500</v>
      </c>
      <c r="J1151" s="1001">
        <v>1</v>
      </c>
      <c r="K1151" s="1001">
        <v>5000</v>
      </c>
      <c r="L1151" s="1001">
        <v>1</v>
      </c>
      <c r="M1151" s="1001">
        <v>5500</v>
      </c>
      <c r="N1151" s="1001">
        <v>1</v>
      </c>
      <c r="O1151" s="1001">
        <v>6000</v>
      </c>
      <c r="P1151" s="1001">
        <v>1</v>
      </c>
      <c r="Q1151" s="1001">
        <v>6500</v>
      </c>
      <c r="R1151" s="1001"/>
      <c r="S1151" s="1004"/>
      <c r="T1151" s="1004"/>
    </row>
    <row r="1152" spans="2:20" s="1003" customFormat="1" ht="60" x14ac:dyDescent="0.25">
      <c r="B1152" s="1106" t="s">
        <v>3284</v>
      </c>
      <c r="C1152" s="1009" t="s">
        <v>3285</v>
      </c>
      <c r="D1152" s="1025" t="s">
        <v>364</v>
      </c>
      <c r="E1152" s="1001">
        <v>100</v>
      </c>
      <c r="F1152" s="1001">
        <f>F1153</f>
        <v>32</v>
      </c>
      <c r="G1152" s="1001">
        <f t="shared" ref="G1152:Q1152" si="112">G1153</f>
        <v>5500</v>
      </c>
      <c r="H1152" s="1001">
        <f t="shared" si="112"/>
        <v>32</v>
      </c>
      <c r="I1152" s="1001">
        <f t="shared" si="112"/>
        <v>6400</v>
      </c>
      <c r="J1152" s="1001">
        <f t="shared" si="112"/>
        <v>32</v>
      </c>
      <c r="K1152" s="1001">
        <f t="shared" si="112"/>
        <v>7000</v>
      </c>
      <c r="L1152" s="1001">
        <f t="shared" si="112"/>
        <v>32</v>
      </c>
      <c r="M1152" s="1001">
        <f t="shared" si="112"/>
        <v>7600</v>
      </c>
      <c r="N1152" s="1001">
        <f t="shared" si="112"/>
        <v>32</v>
      </c>
      <c r="O1152" s="1001">
        <f t="shared" si="112"/>
        <v>8000</v>
      </c>
      <c r="P1152" s="1001">
        <f t="shared" si="112"/>
        <v>32</v>
      </c>
      <c r="Q1152" s="1001">
        <f t="shared" si="112"/>
        <v>8600</v>
      </c>
      <c r="R1152" s="1001">
        <f>N1152</f>
        <v>32</v>
      </c>
      <c r="S1152" s="1004"/>
      <c r="T1152" s="1004"/>
    </row>
    <row r="1153" spans="2:20" s="1003" customFormat="1" ht="63.75" x14ac:dyDescent="0.25">
      <c r="B1153" s="998" t="s">
        <v>3286</v>
      </c>
      <c r="C1153" s="1009" t="s">
        <v>3287</v>
      </c>
      <c r="D1153" s="1025" t="s">
        <v>100</v>
      </c>
      <c r="E1153" s="1001"/>
      <c r="F1153" s="1001">
        <v>32</v>
      </c>
      <c r="G1153" s="1001">
        <v>5500</v>
      </c>
      <c r="H1153" s="1001">
        <v>32</v>
      </c>
      <c r="I1153" s="1001">
        <v>6400</v>
      </c>
      <c r="J1153" s="1001">
        <v>32</v>
      </c>
      <c r="K1153" s="1001">
        <v>7000</v>
      </c>
      <c r="L1153" s="1001">
        <v>32</v>
      </c>
      <c r="M1153" s="1001">
        <v>7600</v>
      </c>
      <c r="N1153" s="1001">
        <v>32</v>
      </c>
      <c r="O1153" s="1001">
        <v>8000</v>
      </c>
      <c r="P1153" s="1001">
        <v>32</v>
      </c>
      <c r="Q1153" s="1001">
        <v>8600</v>
      </c>
      <c r="R1153" s="1001"/>
      <c r="S1153" s="1004"/>
      <c r="T1153" s="1004"/>
    </row>
    <row r="1154" spans="2:20" s="1003" customFormat="1" ht="48" x14ac:dyDescent="0.25">
      <c r="B1154" s="1106" t="s">
        <v>3289</v>
      </c>
      <c r="C1154" s="1009" t="s">
        <v>3288</v>
      </c>
      <c r="D1154" s="1025" t="s">
        <v>100</v>
      </c>
      <c r="E1154" s="1001">
        <v>30</v>
      </c>
      <c r="F1154" s="1001">
        <f>F1155</f>
        <v>50</v>
      </c>
      <c r="G1154" s="1001">
        <f t="shared" ref="G1154:Q1154" si="113">G1155</f>
        <v>12000</v>
      </c>
      <c r="H1154" s="1001">
        <f t="shared" si="113"/>
        <v>50</v>
      </c>
      <c r="I1154" s="1001">
        <f t="shared" si="113"/>
        <v>11500</v>
      </c>
      <c r="J1154" s="1001">
        <f t="shared" si="113"/>
        <v>50</v>
      </c>
      <c r="K1154" s="1001">
        <f t="shared" si="113"/>
        <v>12000</v>
      </c>
      <c r="L1154" s="1001">
        <f t="shared" si="113"/>
        <v>50</v>
      </c>
      <c r="M1154" s="1001">
        <f t="shared" si="113"/>
        <v>13500</v>
      </c>
      <c r="N1154" s="1001">
        <f t="shared" si="113"/>
        <v>50</v>
      </c>
      <c r="O1154" s="1001">
        <f t="shared" si="113"/>
        <v>15000</v>
      </c>
      <c r="P1154" s="1001">
        <f t="shared" si="113"/>
        <v>50</v>
      </c>
      <c r="Q1154" s="1001">
        <f t="shared" si="113"/>
        <v>16500</v>
      </c>
      <c r="R1154" s="1001">
        <f>F1154+H1154+J1154+L1154+N1154</f>
        <v>250</v>
      </c>
      <c r="S1154" s="1004"/>
      <c r="T1154" s="1004"/>
    </row>
    <row r="1155" spans="2:20" s="1003" customFormat="1" ht="76.5" x14ac:dyDescent="0.25">
      <c r="B1155" s="998" t="s">
        <v>894</v>
      </c>
      <c r="C1155" s="1009" t="s">
        <v>3290</v>
      </c>
      <c r="D1155" s="1025" t="s">
        <v>100</v>
      </c>
      <c r="E1155" s="1001"/>
      <c r="F1155" s="1001">
        <v>50</v>
      </c>
      <c r="G1155" s="1001">
        <v>12000</v>
      </c>
      <c r="H1155" s="1001">
        <v>50</v>
      </c>
      <c r="I1155" s="1001">
        <v>11500</v>
      </c>
      <c r="J1155" s="1001">
        <v>50</v>
      </c>
      <c r="K1155" s="1001">
        <v>12000</v>
      </c>
      <c r="L1155" s="1001">
        <v>50</v>
      </c>
      <c r="M1155" s="1001">
        <v>13500</v>
      </c>
      <c r="N1155" s="1001">
        <v>50</v>
      </c>
      <c r="O1155" s="1001">
        <v>15000</v>
      </c>
      <c r="P1155" s="1001">
        <v>50</v>
      </c>
      <c r="Q1155" s="1001">
        <v>16500</v>
      </c>
      <c r="R1155" s="1001"/>
      <c r="S1155" s="1004"/>
      <c r="T1155" s="1004"/>
    </row>
    <row r="1156" spans="2:20" s="1003" customFormat="1" ht="60" x14ac:dyDescent="0.25">
      <c r="B1156" s="1063" t="s">
        <v>3292</v>
      </c>
      <c r="C1156" s="1000" t="s">
        <v>3291</v>
      </c>
      <c r="D1156" s="1025" t="s">
        <v>19</v>
      </c>
      <c r="E1156" s="1001">
        <v>75</v>
      </c>
      <c r="F1156" s="1001">
        <v>77</v>
      </c>
      <c r="G1156" s="1001">
        <f>G1157</f>
        <v>2000</v>
      </c>
      <c r="H1156" s="1001"/>
      <c r="I1156" s="1001">
        <f>I1157</f>
        <v>0</v>
      </c>
      <c r="J1156" s="1001"/>
      <c r="K1156" s="1001">
        <f>K1157</f>
        <v>0</v>
      </c>
      <c r="L1156" s="1001">
        <v>80</v>
      </c>
      <c r="M1156" s="1001">
        <f>M1157</f>
        <v>16800</v>
      </c>
      <c r="N1156" s="1001"/>
      <c r="O1156" s="1001">
        <f>O1157</f>
        <v>0</v>
      </c>
      <c r="P1156" s="1001"/>
      <c r="Q1156" s="1001">
        <f>Q1157</f>
        <v>0</v>
      </c>
      <c r="R1156" s="1001">
        <f>L1156</f>
        <v>80</v>
      </c>
      <c r="S1156" s="1004"/>
      <c r="T1156" s="1004"/>
    </row>
    <row r="1157" spans="2:20" s="1003" customFormat="1" ht="38.25" x14ac:dyDescent="0.25">
      <c r="B1157" s="1008" t="s">
        <v>3293</v>
      </c>
      <c r="C1157" s="1000" t="s">
        <v>3294</v>
      </c>
      <c r="D1157" s="1025" t="s">
        <v>103</v>
      </c>
      <c r="E1157" s="1001"/>
      <c r="F1157" s="1001">
        <v>2</v>
      </c>
      <c r="G1157" s="1001">
        <v>2000</v>
      </c>
      <c r="H1157" s="1001">
        <v>0</v>
      </c>
      <c r="I1157" s="1001">
        <v>0</v>
      </c>
      <c r="J1157" s="1001">
        <v>0</v>
      </c>
      <c r="K1157" s="1001"/>
      <c r="L1157" s="1001">
        <v>14</v>
      </c>
      <c r="M1157" s="1001">
        <v>16800</v>
      </c>
      <c r="N1157" s="1001">
        <v>0</v>
      </c>
      <c r="O1157" s="1001">
        <v>0</v>
      </c>
      <c r="P1157" s="1001">
        <v>0</v>
      </c>
      <c r="Q1157" s="1001">
        <v>0</v>
      </c>
      <c r="R1157" s="1001"/>
      <c r="S1157" s="1004"/>
      <c r="T1157" s="1004"/>
    </row>
    <row r="1158" spans="2:20" s="1003" customFormat="1" ht="60" x14ac:dyDescent="0.25">
      <c r="B1158" s="1063" t="s">
        <v>3296</v>
      </c>
      <c r="C1158" s="1000" t="s">
        <v>3295</v>
      </c>
      <c r="D1158" s="1025" t="s">
        <v>327</v>
      </c>
      <c r="E1158" s="1001">
        <v>11</v>
      </c>
      <c r="F1158" s="1001">
        <f>F1159</f>
        <v>16</v>
      </c>
      <c r="G1158" s="1001">
        <f t="shared" ref="G1158:Q1158" si="114">G1159</f>
        <v>8800</v>
      </c>
      <c r="H1158" s="1001">
        <f t="shared" si="114"/>
        <v>16</v>
      </c>
      <c r="I1158" s="1001">
        <f t="shared" si="114"/>
        <v>4000</v>
      </c>
      <c r="J1158" s="1001">
        <f t="shared" si="114"/>
        <v>16</v>
      </c>
      <c r="K1158" s="1001">
        <f t="shared" si="114"/>
        <v>5000</v>
      </c>
      <c r="L1158" s="1001">
        <f t="shared" si="114"/>
        <v>16</v>
      </c>
      <c r="M1158" s="1001">
        <f t="shared" si="114"/>
        <v>8000</v>
      </c>
      <c r="N1158" s="1001">
        <f t="shared" si="114"/>
        <v>16</v>
      </c>
      <c r="O1158" s="1001">
        <f t="shared" si="114"/>
        <v>9600</v>
      </c>
      <c r="P1158" s="1001">
        <f t="shared" si="114"/>
        <v>16</v>
      </c>
      <c r="Q1158" s="1001">
        <f t="shared" si="114"/>
        <v>11200</v>
      </c>
      <c r="R1158" s="1001">
        <f>N1158</f>
        <v>16</v>
      </c>
      <c r="S1158" s="1004"/>
      <c r="T1158" s="1004"/>
    </row>
    <row r="1159" spans="2:20" s="1003" customFormat="1" x14ac:dyDescent="0.25">
      <c r="B1159" s="1008" t="s">
        <v>383</v>
      </c>
      <c r="C1159" s="1000" t="s">
        <v>3297</v>
      </c>
      <c r="D1159" s="1025"/>
      <c r="E1159" s="1001"/>
      <c r="F1159" s="1001">
        <v>16</v>
      </c>
      <c r="G1159" s="1001">
        <v>8800</v>
      </c>
      <c r="H1159" s="1001">
        <v>16</v>
      </c>
      <c r="I1159" s="1001">
        <v>4000</v>
      </c>
      <c r="J1159" s="1001">
        <v>16</v>
      </c>
      <c r="K1159" s="1001">
        <v>5000</v>
      </c>
      <c r="L1159" s="1001">
        <v>16</v>
      </c>
      <c r="M1159" s="1001">
        <v>8000</v>
      </c>
      <c r="N1159" s="1001">
        <v>16</v>
      </c>
      <c r="O1159" s="1001">
        <v>9600</v>
      </c>
      <c r="P1159" s="1001">
        <v>16</v>
      </c>
      <c r="Q1159" s="1001">
        <v>11200</v>
      </c>
      <c r="R1159" s="1001"/>
      <c r="S1159" s="1004"/>
      <c r="T1159" s="1004"/>
    </row>
    <row r="1160" spans="2:20" s="1032" customFormat="1" x14ac:dyDescent="0.25">
      <c r="B1160" s="1027" t="s">
        <v>2651</v>
      </c>
      <c r="C1160" s="1033"/>
      <c r="D1160" s="1034"/>
      <c r="E1160" s="1033"/>
      <c r="F1160" s="1033"/>
      <c r="G1160" s="1035">
        <f>G1158+G1156+G1154+G1152+G1149+G1147+G1143+G1141+G1137+G1135+G1133+G1124+G1110</f>
        <v>332022</v>
      </c>
      <c r="H1160" s="1033"/>
      <c r="I1160" s="1035">
        <f>I1158+I1156+I1154+I1152+I1149+I1147+I1143+I1141+I1137+I1135+I1133+I1124+I1110</f>
        <v>327825</v>
      </c>
      <c r="J1160" s="1033"/>
      <c r="K1160" s="1035">
        <f>K1158+K1156+K1154+K1152+K1149+K1147+K1143+K1141+K1137+K1135+K1133+K1124+K1110</f>
        <v>350900</v>
      </c>
      <c r="L1160" s="1033"/>
      <c r="M1160" s="1035">
        <f>M1158+M1156+M1154+M1152+M1149+M1147+M1143+M1141+M1137+M1135+M1133+M1124+M1110</f>
        <v>385350</v>
      </c>
      <c r="N1160" s="1033"/>
      <c r="O1160" s="1035">
        <f>O1158+O1156+O1154+O1152+O1149+O1147+O1143+O1141+O1137+O1135+O1133+O1124+O1110</f>
        <v>401000</v>
      </c>
      <c r="P1160" s="1033"/>
      <c r="Q1160" s="1035">
        <f>Q1158+Q1156+Q1154+Q1152+Q1149+Q1147+Q1143+Q1141+Q1137+Q1135+Q1133+Q1124+Q1110</f>
        <v>413750</v>
      </c>
      <c r="R1160" s="1033"/>
      <c r="S1160" s="1036"/>
      <c r="T1160" s="1036"/>
    </row>
    <row r="1161" spans="2:20" s="1003" customFormat="1" x14ac:dyDescent="0.25">
      <c r="B1161" s="1005"/>
      <c r="C1161" s="1100"/>
      <c r="D1161" s="1000"/>
      <c r="E1161" s="1001"/>
      <c r="F1161" s="1001"/>
      <c r="G1161" s="1001"/>
      <c r="H1161" s="1001"/>
      <c r="I1161" s="1001"/>
      <c r="J1161" s="1001"/>
      <c r="K1161" s="1001"/>
      <c r="L1161" s="1001"/>
      <c r="M1161" s="1001"/>
      <c r="N1161" s="1001"/>
      <c r="O1161" s="1001"/>
      <c r="P1161" s="1001"/>
      <c r="Q1161" s="1001"/>
      <c r="R1161" s="1001"/>
      <c r="S1161" s="1004"/>
      <c r="T1161" s="1004"/>
    </row>
    <row r="1162" spans="2:20" s="1003" customFormat="1" x14ac:dyDescent="0.25">
      <c r="B1162" s="1167" t="s">
        <v>3615</v>
      </c>
      <c r="C1162" s="1100"/>
      <c r="D1162" s="1000"/>
      <c r="E1162" s="1001"/>
      <c r="F1162" s="1001"/>
      <c r="G1162" s="1001"/>
      <c r="H1162" s="1001"/>
      <c r="I1162" s="1001"/>
      <c r="J1162" s="1001"/>
      <c r="K1162" s="1001"/>
      <c r="L1162" s="1001"/>
      <c r="M1162" s="1001"/>
      <c r="N1162" s="1001"/>
      <c r="O1162" s="1001"/>
      <c r="P1162" s="1001"/>
      <c r="Q1162" s="1001"/>
      <c r="R1162" s="1001"/>
      <c r="S1162" s="1004"/>
      <c r="T1162" s="1004"/>
    </row>
    <row r="1163" spans="2:20" s="1003" customFormat="1" ht="51" customHeight="1" x14ac:dyDescent="0.25">
      <c r="B1163" s="998"/>
      <c r="C1163" s="999" t="s">
        <v>3228</v>
      </c>
      <c r="D1163" s="1025" t="s">
        <v>19</v>
      </c>
      <c r="E1163" s="1001">
        <v>90</v>
      </c>
      <c r="F1163" s="1001">
        <v>93</v>
      </c>
      <c r="G1163" s="1001"/>
      <c r="H1163" s="1001">
        <v>94</v>
      </c>
      <c r="I1163" s="1001"/>
      <c r="J1163" s="1001">
        <v>95</v>
      </c>
      <c r="K1163" s="1001"/>
      <c r="L1163" s="1001">
        <v>96</v>
      </c>
      <c r="M1163" s="1001"/>
      <c r="N1163" s="1001">
        <v>97</v>
      </c>
      <c r="O1163" s="1001"/>
      <c r="P1163" s="1001">
        <v>98</v>
      </c>
      <c r="Q1163" s="1001"/>
      <c r="R1163" s="1001">
        <v>97</v>
      </c>
      <c r="S1163" s="1002"/>
      <c r="T1163" s="1002"/>
    </row>
    <row r="1164" spans="2:20" s="1003" customFormat="1" ht="63.75" x14ac:dyDescent="0.25">
      <c r="B1164" s="1106" t="s">
        <v>3229</v>
      </c>
      <c r="C1164" s="1000" t="s">
        <v>1488</v>
      </c>
      <c r="D1164" s="1025" t="s">
        <v>19</v>
      </c>
      <c r="E1164" s="1001">
        <v>100</v>
      </c>
      <c r="F1164" s="1001">
        <v>20</v>
      </c>
      <c r="G1164" s="1001">
        <f>SUM(G1165:G1177)</f>
        <v>79950</v>
      </c>
      <c r="H1164" s="1001">
        <v>20</v>
      </c>
      <c r="I1164" s="1001">
        <f>SUM(I1165:I1177)</f>
        <v>89450</v>
      </c>
      <c r="J1164" s="1001">
        <v>20</v>
      </c>
      <c r="K1164" s="1001">
        <f>SUM(K1165:K1177)</f>
        <v>96650</v>
      </c>
      <c r="L1164" s="1001">
        <v>20</v>
      </c>
      <c r="M1164" s="1001">
        <f>SUM(M1165:M1177)</f>
        <v>105450</v>
      </c>
      <c r="N1164" s="1001">
        <v>20</v>
      </c>
      <c r="O1164" s="1001">
        <f>SUM(O1165:O1177)</f>
        <v>114550</v>
      </c>
      <c r="P1164" s="1001">
        <v>20</v>
      </c>
      <c r="Q1164" s="1001">
        <f>SUM(Q1165:Q1177)</f>
        <v>122760</v>
      </c>
      <c r="R1164" s="1001">
        <v>100</v>
      </c>
      <c r="S1164" s="1004"/>
      <c r="T1164" s="1004"/>
    </row>
    <row r="1165" spans="2:20" s="1003" customFormat="1" ht="25.5" x14ac:dyDescent="0.25">
      <c r="B1165" s="998" t="s">
        <v>124</v>
      </c>
      <c r="C1165" s="1100" t="s">
        <v>3230</v>
      </c>
      <c r="D1165" s="1025" t="s">
        <v>40</v>
      </c>
      <c r="E1165" s="1001"/>
      <c r="F1165" s="1001">
        <v>12</v>
      </c>
      <c r="G1165" s="1001">
        <v>1000</v>
      </c>
      <c r="H1165" s="1001">
        <v>12</v>
      </c>
      <c r="I1165" s="1001">
        <v>1000</v>
      </c>
      <c r="J1165" s="1001">
        <v>12</v>
      </c>
      <c r="K1165" s="1001">
        <v>1100</v>
      </c>
      <c r="L1165" s="1001">
        <v>12</v>
      </c>
      <c r="M1165" s="1001">
        <v>1250</v>
      </c>
      <c r="N1165" s="1001">
        <v>12</v>
      </c>
      <c r="O1165" s="1001">
        <v>1350</v>
      </c>
      <c r="P1165" s="1001">
        <v>12</v>
      </c>
      <c r="Q1165" s="1001">
        <v>1460</v>
      </c>
      <c r="R1165" s="1001"/>
      <c r="S1165" s="1004"/>
      <c r="T1165" s="1004"/>
    </row>
    <row r="1166" spans="2:20" s="1003" customFormat="1" ht="51" x14ac:dyDescent="0.25">
      <c r="B1166" s="1005" t="s">
        <v>126</v>
      </c>
      <c r="C1166" s="1100" t="s">
        <v>2518</v>
      </c>
      <c r="D1166" s="1025" t="s">
        <v>40</v>
      </c>
      <c r="E1166" s="1001"/>
      <c r="F1166" s="1001">
        <v>12</v>
      </c>
      <c r="G1166" s="1001">
        <v>10000</v>
      </c>
      <c r="H1166" s="1001">
        <v>12</v>
      </c>
      <c r="I1166" s="1001">
        <v>11000</v>
      </c>
      <c r="J1166" s="1001">
        <v>12</v>
      </c>
      <c r="K1166" s="1001">
        <v>12500</v>
      </c>
      <c r="L1166" s="1001">
        <v>12</v>
      </c>
      <c r="M1166" s="1001">
        <v>13750</v>
      </c>
      <c r="N1166" s="1001">
        <v>12</v>
      </c>
      <c r="O1166" s="1001">
        <v>15250</v>
      </c>
      <c r="P1166" s="1001">
        <v>12</v>
      </c>
      <c r="Q1166" s="1001">
        <v>16700</v>
      </c>
      <c r="R1166" s="1001"/>
      <c r="S1166" s="1004"/>
      <c r="T1166" s="1004"/>
    </row>
    <row r="1167" spans="2:20" s="1003" customFormat="1" ht="76.5" x14ac:dyDescent="0.25">
      <c r="B1167" s="1005" t="s">
        <v>3231</v>
      </c>
      <c r="C1167" s="1100" t="s">
        <v>2519</v>
      </c>
      <c r="D1167" s="1025" t="s">
        <v>40</v>
      </c>
      <c r="E1167" s="1001"/>
      <c r="F1167" s="1001">
        <v>12</v>
      </c>
      <c r="G1167" s="1001">
        <v>23000</v>
      </c>
      <c r="H1167" s="1001">
        <v>12</v>
      </c>
      <c r="I1167" s="1001">
        <v>23500</v>
      </c>
      <c r="J1167" s="1001">
        <v>12</v>
      </c>
      <c r="K1167" s="1001">
        <v>24000</v>
      </c>
      <c r="L1167" s="1001">
        <v>12</v>
      </c>
      <c r="M1167" s="1001">
        <v>26000</v>
      </c>
      <c r="N1167" s="1001">
        <v>12</v>
      </c>
      <c r="O1167" s="1001">
        <v>28500</v>
      </c>
      <c r="P1167" s="1001">
        <v>12</v>
      </c>
      <c r="Q1167" s="1001">
        <v>30000</v>
      </c>
      <c r="R1167" s="1001"/>
      <c r="S1167" s="1004"/>
      <c r="T1167" s="1004"/>
    </row>
    <row r="1168" spans="2:20" s="1003" customFormat="1" ht="38.25" x14ac:dyDescent="0.25">
      <c r="B1168" s="1005" t="s">
        <v>45</v>
      </c>
      <c r="C1168" s="1100" t="s">
        <v>2520</v>
      </c>
      <c r="D1168" s="1025" t="s">
        <v>40</v>
      </c>
      <c r="E1168" s="1001"/>
      <c r="F1168" s="1001">
        <v>12</v>
      </c>
      <c r="G1168" s="1001">
        <v>13000</v>
      </c>
      <c r="H1168" s="1001">
        <v>12</v>
      </c>
      <c r="I1168" s="1001">
        <v>16000</v>
      </c>
      <c r="J1168" s="1001">
        <v>12</v>
      </c>
      <c r="K1168" s="1001">
        <v>17600</v>
      </c>
      <c r="L1168" s="1001">
        <v>12</v>
      </c>
      <c r="M1168" s="1001">
        <v>19350</v>
      </c>
      <c r="N1168" s="1001">
        <v>12</v>
      </c>
      <c r="O1168" s="1001">
        <v>21250</v>
      </c>
      <c r="P1168" s="1001">
        <v>12</v>
      </c>
      <c r="Q1168" s="1001">
        <v>23300</v>
      </c>
      <c r="R1168" s="1001"/>
      <c r="S1168" s="1004"/>
      <c r="T1168" s="1004"/>
    </row>
    <row r="1169" spans="2:20" s="1003" customFormat="1" ht="38.25" x14ac:dyDescent="0.25">
      <c r="B1169" s="1005" t="s">
        <v>47</v>
      </c>
      <c r="C1169" s="1100" t="s">
        <v>2521</v>
      </c>
      <c r="D1169" s="1025" t="s">
        <v>40</v>
      </c>
      <c r="E1169" s="1001"/>
      <c r="F1169" s="1001">
        <v>12</v>
      </c>
      <c r="G1169" s="1001">
        <v>500</v>
      </c>
      <c r="H1169" s="1001">
        <v>12</v>
      </c>
      <c r="I1169" s="1001">
        <v>750</v>
      </c>
      <c r="J1169" s="1001">
        <v>12</v>
      </c>
      <c r="K1169" s="1001">
        <v>1000</v>
      </c>
      <c r="L1169" s="1001">
        <v>12</v>
      </c>
      <c r="M1169" s="1001">
        <v>1100</v>
      </c>
      <c r="N1169" s="1001">
        <v>12</v>
      </c>
      <c r="O1169" s="1001">
        <v>1200</v>
      </c>
      <c r="P1169" s="1001">
        <v>12</v>
      </c>
      <c r="Q1169" s="1001">
        <v>1300</v>
      </c>
      <c r="R1169" s="1001"/>
      <c r="S1169" s="1004"/>
      <c r="T1169" s="1004"/>
    </row>
    <row r="1170" spans="2:20" s="1003" customFormat="1" ht="51" x14ac:dyDescent="0.25">
      <c r="B1170" s="1005" t="s">
        <v>923</v>
      </c>
      <c r="C1170" s="1100" t="s">
        <v>2522</v>
      </c>
      <c r="D1170" s="1025" t="s">
        <v>40</v>
      </c>
      <c r="E1170" s="1001"/>
      <c r="F1170" s="1001">
        <v>12</v>
      </c>
      <c r="G1170" s="1001">
        <v>2500</v>
      </c>
      <c r="H1170" s="1001">
        <v>12</v>
      </c>
      <c r="I1170" s="1001">
        <v>2500</v>
      </c>
      <c r="J1170" s="1001">
        <v>12</v>
      </c>
      <c r="K1170" s="1001">
        <v>2750</v>
      </c>
      <c r="L1170" s="1001">
        <v>12</v>
      </c>
      <c r="M1170" s="1001">
        <v>3000</v>
      </c>
      <c r="N1170" s="1001">
        <v>12</v>
      </c>
      <c r="O1170" s="1001">
        <v>3250</v>
      </c>
      <c r="P1170" s="1001">
        <v>12</v>
      </c>
      <c r="Q1170" s="1001">
        <v>3500</v>
      </c>
      <c r="R1170" s="1001"/>
      <c r="S1170" s="1004"/>
      <c r="T1170" s="1004"/>
    </row>
    <row r="1171" spans="2:20" s="1003" customFormat="1" ht="38.25" x14ac:dyDescent="0.25">
      <c r="B1171" s="1005" t="s">
        <v>50</v>
      </c>
      <c r="C1171" s="1100" t="s">
        <v>2523</v>
      </c>
      <c r="D1171" s="1025" t="s">
        <v>40</v>
      </c>
      <c r="E1171" s="1001"/>
      <c r="F1171" s="1001">
        <v>12</v>
      </c>
      <c r="G1171" s="1001">
        <v>4500</v>
      </c>
      <c r="H1171" s="1001">
        <v>12</v>
      </c>
      <c r="I1171" s="1001">
        <v>6000</v>
      </c>
      <c r="J1171" s="1001">
        <v>12</v>
      </c>
      <c r="K1171" s="1001">
        <v>6500</v>
      </c>
      <c r="L1171" s="1001">
        <v>12</v>
      </c>
      <c r="M1171" s="1001">
        <v>7000</v>
      </c>
      <c r="N1171" s="1001">
        <v>12</v>
      </c>
      <c r="O1171" s="1001">
        <v>7250</v>
      </c>
      <c r="P1171" s="1001">
        <v>12</v>
      </c>
      <c r="Q1171" s="1001">
        <v>7500</v>
      </c>
      <c r="R1171" s="1001"/>
      <c r="S1171" s="1004"/>
      <c r="T1171" s="1004"/>
    </row>
    <row r="1172" spans="2:20" s="1003" customFormat="1" ht="51" x14ac:dyDescent="0.25">
      <c r="B1172" s="1005" t="s">
        <v>52</v>
      </c>
      <c r="C1172" s="1100" t="s">
        <v>2524</v>
      </c>
      <c r="D1172" s="1025" t="s">
        <v>40</v>
      </c>
      <c r="E1172" s="1001"/>
      <c r="F1172" s="1001">
        <v>12</v>
      </c>
      <c r="G1172" s="1001">
        <v>1500</v>
      </c>
      <c r="H1172" s="1001">
        <v>12</v>
      </c>
      <c r="I1172" s="1001">
        <v>2000</v>
      </c>
      <c r="J1172" s="1001">
        <v>12</v>
      </c>
      <c r="K1172" s="1001">
        <v>2200</v>
      </c>
      <c r="L1172" s="1001">
        <v>12</v>
      </c>
      <c r="M1172" s="1001">
        <v>2500</v>
      </c>
      <c r="N1172" s="1001">
        <v>12</v>
      </c>
      <c r="O1172" s="1001">
        <v>2750</v>
      </c>
      <c r="P1172" s="1001">
        <v>12</v>
      </c>
      <c r="Q1172" s="1001">
        <v>3000</v>
      </c>
      <c r="R1172" s="1001"/>
      <c r="S1172" s="1004"/>
      <c r="T1172" s="1004"/>
    </row>
    <row r="1173" spans="2:20" s="1003" customFormat="1" ht="76.5" x14ac:dyDescent="0.25">
      <c r="B1173" s="1005" t="s">
        <v>782</v>
      </c>
      <c r="C1173" s="1100" t="s">
        <v>2525</v>
      </c>
      <c r="D1173" s="1025" t="s">
        <v>40</v>
      </c>
      <c r="E1173" s="1001"/>
      <c r="F1173" s="1001">
        <v>12</v>
      </c>
      <c r="G1173" s="1001">
        <v>1750</v>
      </c>
      <c r="H1173" s="1001">
        <v>12</v>
      </c>
      <c r="I1173" s="1001">
        <v>1500</v>
      </c>
      <c r="J1173" s="1001">
        <v>12</v>
      </c>
      <c r="K1173" s="1001">
        <v>1750</v>
      </c>
      <c r="L1173" s="1001">
        <v>12</v>
      </c>
      <c r="M1173" s="1001">
        <v>2000</v>
      </c>
      <c r="N1173" s="1001">
        <v>12</v>
      </c>
      <c r="O1173" s="1001">
        <v>2250</v>
      </c>
      <c r="P1173" s="1001">
        <v>12</v>
      </c>
      <c r="Q1173" s="1001">
        <v>2500</v>
      </c>
      <c r="R1173" s="1001"/>
      <c r="S1173" s="1004"/>
      <c r="T1173" s="1004"/>
    </row>
    <row r="1174" spans="2:20" s="1003" customFormat="1" ht="63.75" x14ac:dyDescent="0.25">
      <c r="B1174" s="1005" t="s">
        <v>3232</v>
      </c>
      <c r="C1174" s="1100" t="s">
        <v>2526</v>
      </c>
      <c r="D1174" s="1025" t="s">
        <v>40</v>
      </c>
      <c r="E1174" s="1001"/>
      <c r="F1174" s="1001">
        <v>12</v>
      </c>
      <c r="G1174" s="1001">
        <v>1200</v>
      </c>
      <c r="H1174" s="1001">
        <v>12</v>
      </c>
      <c r="I1174" s="1001">
        <v>1200</v>
      </c>
      <c r="J1174" s="1001">
        <v>12</v>
      </c>
      <c r="K1174" s="1001">
        <v>1250</v>
      </c>
      <c r="L1174" s="1001">
        <v>12</v>
      </c>
      <c r="M1174" s="1001">
        <v>1500</v>
      </c>
      <c r="N1174" s="1001">
        <v>12</v>
      </c>
      <c r="O1174" s="1001">
        <v>1750</v>
      </c>
      <c r="P1174" s="1001">
        <v>12</v>
      </c>
      <c r="Q1174" s="1001">
        <v>2000</v>
      </c>
      <c r="R1174" s="1001"/>
      <c r="S1174" s="1004"/>
      <c r="T1174" s="1004"/>
    </row>
    <row r="1175" spans="2:20" s="1003" customFormat="1" ht="38.25" x14ac:dyDescent="0.25">
      <c r="B1175" s="1005" t="s">
        <v>58</v>
      </c>
      <c r="C1175" s="1100" t="s">
        <v>2527</v>
      </c>
      <c r="D1175" s="1025" t="s">
        <v>40</v>
      </c>
      <c r="E1175" s="1001"/>
      <c r="F1175" s="1001">
        <v>12</v>
      </c>
      <c r="G1175" s="1001">
        <v>5000</v>
      </c>
      <c r="H1175" s="1001">
        <v>12</v>
      </c>
      <c r="I1175" s="1001">
        <v>6000</v>
      </c>
      <c r="J1175" s="1001">
        <v>12</v>
      </c>
      <c r="K1175" s="1001">
        <v>6500</v>
      </c>
      <c r="L1175" s="1001">
        <v>12</v>
      </c>
      <c r="M1175" s="1001">
        <v>7000</v>
      </c>
      <c r="N1175" s="1001">
        <v>12</v>
      </c>
      <c r="O1175" s="1001">
        <v>7250</v>
      </c>
      <c r="P1175" s="1001">
        <v>12</v>
      </c>
      <c r="Q1175" s="1001">
        <v>7500</v>
      </c>
      <c r="R1175" s="1001"/>
      <c r="S1175" s="1004"/>
      <c r="T1175" s="1004"/>
    </row>
    <row r="1176" spans="2:20" s="1003" customFormat="1" ht="51" x14ac:dyDescent="0.25">
      <c r="B1176" s="1005" t="s">
        <v>3233</v>
      </c>
      <c r="C1176" s="1100" t="s">
        <v>2529</v>
      </c>
      <c r="D1176" s="1025" t="s">
        <v>40</v>
      </c>
      <c r="E1176" s="1001"/>
      <c r="F1176" s="1001">
        <v>12</v>
      </c>
      <c r="G1176" s="1001">
        <v>16000</v>
      </c>
      <c r="H1176" s="1001">
        <v>12</v>
      </c>
      <c r="I1176" s="1001">
        <v>17000</v>
      </c>
      <c r="J1176" s="1001">
        <v>12</v>
      </c>
      <c r="K1176" s="1001">
        <v>18000</v>
      </c>
      <c r="L1176" s="1001">
        <v>12</v>
      </c>
      <c r="M1176" s="1001">
        <v>19000</v>
      </c>
      <c r="N1176" s="1001">
        <v>12</v>
      </c>
      <c r="O1176" s="1001">
        <v>20000</v>
      </c>
      <c r="P1176" s="1001">
        <v>12</v>
      </c>
      <c r="Q1176" s="1001">
        <v>21000</v>
      </c>
      <c r="R1176" s="1001"/>
      <c r="S1176" s="1004"/>
      <c r="T1176" s="1004"/>
    </row>
    <row r="1177" spans="2:20" s="1003" customFormat="1" ht="51" x14ac:dyDescent="0.25">
      <c r="B1177" s="1102" t="s">
        <v>137</v>
      </c>
      <c r="C1177" s="1100" t="s">
        <v>2528</v>
      </c>
      <c r="D1177" s="1025" t="s">
        <v>40</v>
      </c>
      <c r="E1177" s="1001"/>
      <c r="F1177" s="1001">
        <v>0</v>
      </c>
      <c r="G1177" s="1001">
        <v>0</v>
      </c>
      <c r="H1177" s="1001">
        <v>12</v>
      </c>
      <c r="I1177" s="1001">
        <v>1000</v>
      </c>
      <c r="J1177" s="1001">
        <v>12</v>
      </c>
      <c r="K1177" s="1001">
        <v>1500</v>
      </c>
      <c r="L1177" s="1001">
        <v>12</v>
      </c>
      <c r="M1177" s="1001">
        <v>2000</v>
      </c>
      <c r="N1177" s="1001">
        <v>12</v>
      </c>
      <c r="O1177" s="1001">
        <v>2500</v>
      </c>
      <c r="P1177" s="1001">
        <v>12</v>
      </c>
      <c r="Q1177" s="1001">
        <v>3000</v>
      </c>
      <c r="R1177" s="1001"/>
      <c r="S1177" s="1004"/>
      <c r="T1177" s="1004"/>
    </row>
    <row r="1178" spans="2:20" s="1003" customFormat="1" ht="38.25" customHeight="1" x14ac:dyDescent="0.25">
      <c r="B1178" s="1061" t="s">
        <v>65</v>
      </c>
      <c r="C1178" s="999" t="s">
        <v>3234</v>
      </c>
      <c r="D1178" s="1015" t="s">
        <v>19</v>
      </c>
      <c r="E1178" s="1001">
        <v>70</v>
      </c>
      <c r="F1178" s="1001">
        <v>3</v>
      </c>
      <c r="G1178" s="2114">
        <f>SUM(G1180:G1185)</f>
        <v>75449</v>
      </c>
      <c r="H1178" s="1001">
        <v>2</v>
      </c>
      <c r="I1178" s="2114">
        <f>SUM(I1180:I1185)</f>
        <v>40500</v>
      </c>
      <c r="J1178" s="1001">
        <v>3</v>
      </c>
      <c r="K1178" s="2114">
        <f>SUM(K1180:K1185)</f>
        <v>54000</v>
      </c>
      <c r="L1178" s="1001">
        <v>2</v>
      </c>
      <c r="M1178" s="2114">
        <f>SUM(M1180:M1185)</f>
        <v>43000</v>
      </c>
      <c r="N1178" s="1001">
        <v>3</v>
      </c>
      <c r="O1178" s="2114">
        <f>SUM(O1180:O1185)</f>
        <v>45500</v>
      </c>
      <c r="P1178" s="1001">
        <v>2</v>
      </c>
      <c r="Q1178" s="2114">
        <f>SUM(Q1180:Q1185)</f>
        <v>60500</v>
      </c>
      <c r="R1178" s="1001">
        <f>E1178+F1178+H1178+J1178+L1178+N1178</f>
        <v>83</v>
      </c>
      <c r="S1178" s="1004"/>
      <c r="T1178" s="1004"/>
    </row>
    <row r="1179" spans="2:20" s="1003" customFormat="1" ht="38.25" x14ac:dyDescent="0.25">
      <c r="B1179" s="1067"/>
      <c r="C1179" s="999" t="s">
        <v>3235</v>
      </c>
      <c r="D1179" s="1015" t="s">
        <v>19</v>
      </c>
      <c r="E1179" s="1001">
        <v>100</v>
      </c>
      <c r="F1179" s="1001">
        <v>100</v>
      </c>
      <c r="G1179" s="2114"/>
      <c r="H1179" s="1001">
        <v>100</v>
      </c>
      <c r="I1179" s="2114"/>
      <c r="J1179" s="1001">
        <v>100</v>
      </c>
      <c r="K1179" s="2114"/>
      <c r="L1179" s="1001">
        <v>100</v>
      </c>
      <c r="M1179" s="2114"/>
      <c r="N1179" s="1001">
        <v>100</v>
      </c>
      <c r="O1179" s="2114"/>
      <c r="P1179" s="1001">
        <v>100</v>
      </c>
      <c r="Q1179" s="2114"/>
      <c r="R1179" s="1001">
        <v>100</v>
      </c>
      <c r="S1179" s="1004"/>
      <c r="T1179" s="1004"/>
    </row>
    <row r="1180" spans="2:20" s="1003" customFormat="1" ht="38.25" x14ac:dyDescent="0.25">
      <c r="B1180" s="1007" t="s">
        <v>144</v>
      </c>
      <c r="C1180" s="999" t="s">
        <v>3408</v>
      </c>
      <c r="D1180" s="1015" t="s">
        <v>69</v>
      </c>
      <c r="E1180" s="1001"/>
      <c r="F1180" s="1001">
        <v>2</v>
      </c>
      <c r="G1180" s="1001"/>
      <c r="H1180" s="1001">
        <v>2</v>
      </c>
      <c r="I1180" s="1001"/>
      <c r="J1180" s="1001">
        <v>2</v>
      </c>
      <c r="K1180" s="1001"/>
      <c r="L1180" s="1001">
        <v>2</v>
      </c>
      <c r="M1180" s="1001"/>
      <c r="N1180" s="1001">
        <v>2</v>
      </c>
      <c r="O1180" s="1001"/>
      <c r="P1180" s="1001">
        <v>2</v>
      </c>
      <c r="Q1180" s="1001"/>
      <c r="R1180" s="1001"/>
      <c r="S1180" s="1004"/>
      <c r="T1180" s="1004"/>
    </row>
    <row r="1181" spans="2:20" s="1003" customFormat="1" ht="25.5" x14ac:dyDescent="0.25">
      <c r="B1181" s="998" t="s">
        <v>3236</v>
      </c>
      <c r="C1181" s="1000" t="s">
        <v>3616</v>
      </c>
      <c r="D1181" s="1025" t="s">
        <v>75</v>
      </c>
      <c r="E1181" s="1001"/>
      <c r="F1181" s="1001">
        <v>32</v>
      </c>
      <c r="G1181" s="1001">
        <v>20020</v>
      </c>
      <c r="H1181" s="1001">
        <v>50</v>
      </c>
      <c r="I1181" s="1001">
        <v>17000</v>
      </c>
      <c r="J1181" s="1001">
        <v>3</v>
      </c>
      <c r="K1181" s="1001">
        <v>9000</v>
      </c>
      <c r="L1181" s="1001">
        <v>4</v>
      </c>
      <c r="M1181" s="1001">
        <v>13000</v>
      </c>
      <c r="N1181" s="1001">
        <v>5</v>
      </c>
      <c r="O1181" s="1001">
        <v>8000</v>
      </c>
      <c r="P1181" s="1001">
        <v>30</v>
      </c>
      <c r="Q1181" s="1001">
        <v>20000</v>
      </c>
      <c r="R1181" s="1001"/>
      <c r="S1181" s="1004"/>
      <c r="T1181" s="1004"/>
    </row>
    <row r="1182" spans="2:20" s="1003" customFormat="1" ht="51" x14ac:dyDescent="0.25">
      <c r="B1182" s="998" t="s">
        <v>3238</v>
      </c>
      <c r="C1182" s="1000" t="s">
        <v>3617</v>
      </c>
      <c r="D1182" s="1025" t="s">
        <v>75</v>
      </c>
      <c r="E1182" s="1001"/>
      <c r="F1182" s="1001">
        <v>4</v>
      </c>
      <c r="G1182" s="1001">
        <v>20480</v>
      </c>
      <c r="H1182" s="1001">
        <v>3</v>
      </c>
      <c r="I1182" s="1001">
        <v>20000</v>
      </c>
      <c r="J1182" s="1001">
        <v>5</v>
      </c>
      <c r="K1182" s="1001">
        <v>22000</v>
      </c>
      <c r="L1182" s="1001">
        <v>3</v>
      </c>
      <c r="M1182" s="1001">
        <v>17000</v>
      </c>
      <c r="N1182" s="1001">
        <v>4</v>
      </c>
      <c r="O1182" s="1001">
        <v>23000</v>
      </c>
      <c r="P1182" s="1001">
        <v>4</v>
      </c>
      <c r="Q1182" s="1001">
        <v>25000</v>
      </c>
      <c r="R1182" s="1001"/>
      <c r="S1182" s="1004"/>
      <c r="T1182" s="1004"/>
    </row>
    <row r="1183" spans="2:20" s="1003" customFormat="1" ht="38.25" x14ac:dyDescent="0.25">
      <c r="B1183" s="1007" t="s">
        <v>3240</v>
      </c>
      <c r="C1183" s="999" t="s">
        <v>3241</v>
      </c>
      <c r="D1183" s="1015" t="s">
        <v>40</v>
      </c>
      <c r="E1183" s="1001"/>
      <c r="F1183" s="1001">
        <v>0</v>
      </c>
      <c r="G1183" s="1001">
        <v>0</v>
      </c>
      <c r="H1183" s="1001">
        <v>0</v>
      </c>
      <c r="I1183" s="1001">
        <v>0</v>
      </c>
      <c r="J1183" s="1001">
        <v>12</v>
      </c>
      <c r="K1183" s="1001">
        <v>4000</v>
      </c>
      <c r="L1183" s="1001">
        <v>12</v>
      </c>
      <c r="M1183" s="1001">
        <v>5000</v>
      </c>
      <c r="N1183" s="1001">
        <v>12</v>
      </c>
      <c r="O1183" s="1001">
        <v>5000</v>
      </c>
      <c r="P1183" s="1001">
        <v>12</v>
      </c>
      <c r="Q1183" s="1001">
        <v>6000</v>
      </c>
      <c r="R1183" s="1001"/>
      <c r="S1183" s="1004"/>
      <c r="T1183" s="1004"/>
    </row>
    <row r="1184" spans="2:20" s="1003" customFormat="1" ht="38.25" x14ac:dyDescent="0.25">
      <c r="B1184" s="1007" t="s">
        <v>3242</v>
      </c>
      <c r="C1184" s="999" t="s">
        <v>3539</v>
      </c>
      <c r="D1184" s="1015" t="s">
        <v>40</v>
      </c>
      <c r="E1184" s="1001"/>
      <c r="F1184" s="1001">
        <v>12</v>
      </c>
      <c r="G1184" s="1001">
        <v>34949</v>
      </c>
      <c r="H1184" s="1001">
        <v>12</v>
      </c>
      <c r="I1184" s="1001">
        <v>2000</v>
      </c>
      <c r="J1184" s="1001">
        <v>12</v>
      </c>
      <c r="K1184" s="1001">
        <v>17000</v>
      </c>
      <c r="L1184" s="1001">
        <v>12</v>
      </c>
      <c r="M1184" s="1001">
        <v>5000</v>
      </c>
      <c r="N1184" s="1001">
        <v>12</v>
      </c>
      <c r="O1184" s="1001">
        <v>6000</v>
      </c>
      <c r="P1184" s="1001">
        <v>12</v>
      </c>
      <c r="Q1184" s="1001">
        <v>6000</v>
      </c>
      <c r="R1184" s="1001"/>
      <c r="S1184" s="1004"/>
      <c r="T1184" s="1004"/>
    </row>
    <row r="1185" spans="2:20" s="1003" customFormat="1" ht="38.25" x14ac:dyDescent="0.25">
      <c r="B1185" s="1007" t="s">
        <v>3243</v>
      </c>
      <c r="C1185" s="999" t="s">
        <v>3244</v>
      </c>
      <c r="D1185" s="1015" t="s">
        <v>40</v>
      </c>
      <c r="E1185" s="1001"/>
      <c r="F1185" s="1001">
        <v>0</v>
      </c>
      <c r="G1185" s="1001">
        <v>0</v>
      </c>
      <c r="H1185" s="1001">
        <v>12</v>
      </c>
      <c r="I1185" s="1001">
        <v>1500</v>
      </c>
      <c r="J1185" s="1001">
        <v>12</v>
      </c>
      <c r="K1185" s="1001">
        <v>2000</v>
      </c>
      <c r="L1185" s="1001">
        <v>12</v>
      </c>
      <c r="M1185" s="1001">
        <v>3000</v>
      </c>
      <c r="N1185" s="1001">
        <v>12</v>
      </c>
      <c r="O1185" s="1001">
        <v>3500</v>
      </c>
      <c r="P1185" s="1001">
        <v>12</v>
      </c>
      <c r="Q1185" s="1001">
        <v>3500</v>
      </c>
      <c r="R1185" s="1001"/>
      <c r="S1185" s="1004"/>
      <c r="T1185" s="1004"/>
    </row>
    <row r="1186" spans="2:20" s="1003" customFormat="1" ht="63.75" x14ac:dyDescent="0.25">
      <c r="B1186" s="1106" t="s">
        <v>3245</v>
      </c>
      <c r="C1186" s="1000" t="s">
        <v>3246</v>
      </c>
      <c r="D1186" s="1025" t="s">
        <v>79</v>
      </c>
      <c r="E1186" s="1001">
        <v>10</v>
      </c>
      <c r="F1186" s="1001">
        <f>F1187</f>
        <v>4</v>
      </c>
      <c r="G1186" s="1001">
        <f>G1187</f>
        <v>3000</v>
      </c>
      <c r="H1186" s="1001">
        <f t="shared" ref="H1186:Q1186" si="115">H1187</f>
        <v>4</v>
      </c>
      <c r="I1186" s="1001">
        <f t="shared" si="115"/>
        <v>4000</v>
      </c>
      <c r="J1186" s="1001">
        <f t="shared" si="115"/>
        <v>4</v>
      </c>
      <c r="K1186" s="1001">
        <f t="shared" si="115"/>
        <v>4500</v>
      </c>
      <c r="L1186" s="1001">
        <f t="shared" si="115"/>
        <v>4</v>
      </c>
      <c r="M1186" s="1001">
        <f t="shared" si="115"/>
        <v>4000</v>
      </c>
      <c r="N1186" s="1001">
        <f t="shared" si="115"/>
        <v>4</v>
      </c>
      <c r="O1186" s="1001">
        <f t="shared" si="115"/>
        <v>5500</v>
      </c>
      <c r="P1186" s="1001">
        <f t="shared" si="115"/>
        <v>4</v>
      </c>
      <c r="Q1186" s="1001">
        <f t="shared" si="115"/>
        <v>6000</v>
      </c>
      <c r="R1186" s="1001">
        <f>E1186+F1186+H1186+J1186+L1186+N1186</f>
        <v>30</v>
      </c>
      <c r="S1186" s="1004"/>
      <c r="T1186" s="1004"/>
    </row>
    <row r="1187" spans="2:20" s="1003" customFormat="1" ht="102" x14ac:dyDescent="0.25">
      <c r="B1187" s="998" t="s">
        <v>80</v>
      </c>
      <c r="C1187" s="1000" t="s">
        <v>3540</v>
      </c>
      <c r="D1187" s="1025" t="s">
        <v>79</v>
      </c>
      <c r="E1187" s="1001"/>
      <c r="F1187" s="1001">
        <v>4</v>
      </c>
      <c r="G1187" s="1001">
        <v>3000</v>
      </c>
      <c r="H1187" s="1001">
        <v>4</v>
      </c>
      <c r="I1187" s="1001">
        <v>4000</v>
      </c>
      <c r="J1187" s="1001">
        <v>4</v>
      </c>
      <c r="K1187" s="1001">
        <v>4500</v>
      </c>
      <c r="L1187" s="1001">
        <v>4</v>
      </c>
      <c r="M1187" s="1001">
        <v>4000</v>
      </c>
      <c r="N1187" s="1001">
        <v>4</v>
      </c>
      <c r="O1187" s="1001">
        <v>5500</v>
      </c>
      <c r="P1187" s="1001">
        <v>4</v>
      </c>
      <c r="Q1187" s="1001">
        <v>6000</v>
      </c>
      <c r="R1187" s="1001"/>
      <c r="S1187" s="1004"/>
      <c r="T1187" s="1004"/>
    </row>
    <row r="1188" spans="2:20" s="1003" customFormat="1" ht="48" x14ac:dyDescent="0.25">
      <c r="B1188" s="1106" t="s">
        <v>3248</v>
      </c>
      <c r="C1188" s="1000" t="s">
        <v>3249</v>
      </c>
      <c r="D1188" s="1025" t="s">
        <v>79</v>
      </c>
      <c r="E1188" s="1001">
        <v>5</v>
      </c>
      <c r="F1188" s="1001">
        <f>F1189</f>
        <v>20</v>
      </c>
      <c r="G1188" s="1001">
        <f>G1189</f>
        <v>8000</v>
      </c>
      <c r="H1188" s="1001">
        <f t="shared" ref="H1188:Q1188" si="116">H1189</f>
        <v>20</v>
      </c>
      <c r="I1188" s="1001">
        <f t="shared" si="116"/>
        <v>9000</v>
      </c>
      <c r="J1188" s="1001">
        <f t="shared" si="116"/>
        <v>20</v>
      </c>
      <c r="K1188" s="1001">
        <f t="shared" si="116"/>
        <v>9000</v>
      </c>
      <c r="L1188" s="1001">
        <f t="shared" si="116"/>
        <v>20</v>
      </c>
      <c r="M1188" s="1001">
        <f t="shared" si="116"/>
        <v>9000</v>
      </c>
      <c r="N1188" s="1001">
        <f t="shared" si="116"/>
        <v>20</v>
      </c>
      <c r="O1188" s="1001">
        <f t="shared" si="116"/>
        <v>10000</v>
      </c>
      <c r="P1188" s="1001">
        <f t="shared" si="116"/>
        <v>20</v>
      </c>
      <c r="Q1188" s="1001">
        <f t="shared" si="116"/>
        <v>10000</v>
      </c>
      <c r="R1188" s="1001">
        <v>100</v>
      </c>
      <c r="S1188" s="1004"/>
      <c r="T1188" s="1004"/>
    </row>
    <row r="1189" spans="2:20" s="1003" customFormat="1" ht="63.75" x14ac:dyDescent="0.25">
      <c r="B1189" s="998" t="s">
        <v>1712</v>
      </c>
      <c r="C1189" s="1000" t="s">
        <v>3250</v>
      </c>
      <c r="D1189" s="1025"/>
      <c r="E1189" s="1001"/>
      <c r="F1189" s="1001">
        <v>20</v>
      </c>
      <c r="G1189" s="1001">
        <v>8000</v>
      </c>
      <c r="H1189" s="1001">
        <v>20</v>
      </c>
      <c r="I1189" s="1001">
        <v>9000</v>
      </c>
      <c r="J1189" s="1001">
        <v>20</v>
      </c>
      <c r="K1189" s="1001">
        <v>9000</v>
      </c>
      <c r="L1189" s="1001">
        <v>20</v>
      </c>
      <c r="M1189" s="1001">
        <v>9000</v>
      </c>
      <c r="N1189" s="1001">
        <v>20</v>
      </c>
      <c r="O1189" s="1001">
        <v>10000</v>
      </c>
      <c r="P1189" s="1001">
        <v>20</v>
      </c>
      <c r="Q1189" s="1001">
        <v>10000</v>
      </c>
      <c r="R1189" s="1001"/>
      <c r="S1189" s="1004"/>
      <c r="T1189" s="1004"/>
    </row>
    <row r="1190" spans="2:20" s="1003" customFormat="1" ht="51" customHeight="1" x14ac:dyDescent="0.25">
      <c r="B1190" s="1065" t="s">
        <v>3251</v>
      </c>
      <c r="C1190" s="1000" t="s">
        <v>3252</v>
      </c>
      <c r="D1190" s="1025" t="s">
        <v>79</v>
      </c>
      <c r="E1190" s="1001">
        <v>5</v>
      </c>
      <c r="F1190" s="1001">
        <v>1</v>
      </c>
      <c r="G1190" s="2114">
        <f>SUM(G1192:G1193)</f>
        <v>18000</v>
      </c>
      <c r="H1190" s="1001">
        <v>1</v>
      </c>
      <c r="I1190" s="2114">
        <f>SUM(I1192:I1193)</f>
        <v>20000</v>
      </c>
      <c r="J1190" s="1001">
        <v>1</v>
      </c>
      <c r="K1190" s="2114">
        <f>SUM(K1192:K1193)</f>
        <v>30000</v>
      </c>
      <c r="L1190" s="1001">
        <v>1</v>
      </c>
      <c r="M1190" s="2114">
        <f>SUM(M1192:M1193)</f>
        <v>31000</v>
      </c>
      <c r="N1190" s="1001">
        <v>1</v>
      </c>
      <c r="O1190" s="2114">
        <f>SUM(O1192:O1193)</f>
        <v>33000</v>
      </c>
      <c r="P1190" s="1001">
        <v>1</v>
      </c>
      <c r="Q1190" s="2114">
        <f>SUM(Q1192:Q1193)</f>
        <v>36000</v>
      </c>
      <c r="R1190" s="1001">
        <f>E1190+F1190+H1190+J1190+L1190+N1190</f>
        <v>10</v>
      </c>
      <c r="S1190" s="1004"/>
      <c r="T1190" s="1004"/>
    </row>
    <row r="1191" spans="2:20" s="1003" customFormat="1" ht="38.25" x14ac:dyDescent="0.25">
      <c r="B1191" s="1066"/>
      <c r="C1191" s="1000" t="s">
        <v>3253</v>
      </c>
      <c r="D1191" s="1025" t="s">
        <v>79</v>
      </c>
      <c r="E1191" s="1001">
        <v>5</v>
      </c>
      <c r="F1191" s="1001">
        <v>1</v>
      </c>
      <c r="G1191" s="2114"/>
      <c r="H1191" s="1001">
        <v>1</v>
      </c>
      <c r="I1191" s="2114"/>
      <c r="J1191" s="1001">
        <v>1</v>
      </c>
      <c r="K1191" s="2114"/>
      <c r="L1191" s="1001">
        <v>1</v>
      </c>
      <c r="M1191" s="2114"/>
      <c r="N1191" s="1001">
        <v>1</v>
      </c>
      <c r="O1191" s="2114"/>
      <c r="P1191" s="1001">
        <v>1</v>
      </c>
      <c r="Q1191" s="2114"/>
      <c r="R1191" s="1001">
        <f>E1191+F1191+H1191+J1191+L1191+N1191</f>
        <v>10</v>
      </c>
      <c r="S1191" s="1004"/>
      <c r="T1191" s="1004"/>
    </row>
    <row r="1192" spans="2:20" s="1003" customFormat="1" ht="38.25" x14ac:dyDescent="0.25">
      <c r="B1192" s="998" t="s">
        <v>3254</v>
      </c>
      <c r="C1192" s="1000" t="s">
        <v>3255</v>
      </c>
      <c r="D1192" s="1025" t="s">
        <v>103</v>
      </c>
      <c r="E1192" s="1001"/>
      <c r="F1192" s="1001">
        <v>2</v>
      </c>
      <c r="G1192" s="1001">
        <v>18000</v>
      </c>
      <c r="H1192" s="1001">
        <v>2</v>
      </c>
      <c r="I1192" s="1001">
        <v>20000</v>
      </c>
      <c r="J1192" s="1001">
        <v>2</v>
      </c>
      <c r="K1192" s="1001">
        <v>22000</v>
      </c>
      <c r="L1192" s="1001">
        <v>2</v>
      </c>
      <c r="M1192" s="1001">
        <v>22000</v>
      </c>
      <c r="N1192" s="1001">
        <v>2</v>
      </c>
      <c r="O1192" s="1001">
        <v>24000</v>
      </c>
      <c r="P1192" s="1001">
        <v>2</v>
      </c>
      <c r="Q1192" s="1001">
        <v>26000</v>
      </c>
      <c r="R1192" s="1001"/>
      <c r="S1192" s="1004"/>
      <c r="T1192" s="1004"/>
    </row>
    <row r="1193" spans="2:20" s="1003" customFormat="1" ht="51" x14ac:dyDescent="0.25">
      <c r="B1193" s="998" t="s">
        <v>3256</v>
      </c>
      <c r="C1193" s="1000" t="s">
        <v>3257</v>
      </c>
      <c r="D1193" s="1025" t="s">
        <v>103</v>
      </c>
      <c r="E1193" s="1001"/>
      <c r="F1193" s="1001">
        <v>0</v>
      </c>
      <c r="G1193" s="1001">
        <v>0</v>
      </c>
      <c r="H1193" s="1001">
        <v>0</v>
      </c>
      <c r="I1193" s="1001">
        <v>0</v>
      </c>
      <c r="J1193" s="1001">
        <v>20</v>
      </c>
      <c r="K1193" s="1001">
        <v>8000</v>
      </c>
      <c r="L1193" s="1001">
        <v>20</v>
      </c>
      <c r="M1193" s="1001">
        <v>9000</v>
      </c>
      <c r="N1193" s="1001">
        <v>20</v>
      </c>
      <c r="O1193" s="1001">
        <v>9000</v>
      </c>
      <c r="P1193" s="1001">
        <v>20</v>
      </c>
      <c r="Q1193" s="1001">
        <v>10000</v>
      </c>
      <c r="R1193" s="1001"/>
      <c r="S1193" s="1004"/>
      <c r="T1193" s="1004"/>
    </row>
    <row r="1194" spans="2:20" s="1003" customFormat="1" ht="51" x14ac:dyDescent="0.25">
      <c r="B1194" s="1106" t="s">
        <v>3420</v>
      </c>
      <c r="C1194" s="1000" t="s">
        <v>3386</v>
      </c>
      <c r="D1194" s="1025" t="s">
        <v>19</v>
      </c>
      <c r="E1194" s="1001">
        <v>100</v>
      </c>
      <c r="F1194" s="1001">
        <v>100</v>
      </c>
      <c r="G1194" s="1001">
        <f>G1195</f>
        <v>53000</v>
      </c>
      <c r="H1194" s="1001">
        <v>100</v>
      </c>
      <c r="I1194" s="1001">
        <f>I1195</f>
        <v>51000</v>
      </c>
      <c r="J1194" s="1001">
        <v>100</v>
      </c>
      <c r="K1194" s="1001">
        <f>K1195</f>
        <v>55000</v>
      </c>
      <c r="L1194" s="1001">
        <v>100</v>
      </c>
      <c r="M1194" s="1001">
        <f>M1195</f>
        <v>60000</v>
      </c>
      <c r="N1194" s="1001">
        <v>100</v>
      </c>
      <c r="O1194" s="1001">
        <f>O1195</f>
        <v>65000</v>
      </c>
      <c r="P1194" s="1001">
        <v>100</v>
      </c>
      <c r="Q1194" s="1001">
        <f>Q1195</f>
        <v>65000</v>
      </c>
      <c r="R1194" s="1001">
        <v>100</v>
      </c>
      <c r="S1194" s="1004"/>
      <c r="T1194" s="1004"/>
    </row>
    <row r="1195" spans="2:20" s="1003" customFormat="1" ht="25.5" x14ac:dyDescent="0.25">
      <c r="B1195" s="998" t="s">
        <v>3421</v>
      </c>
      <c r="C1195" s="1000" t="s">
        <v>3422</v>
      </c>
      <c r="D1195" s="1025" t="s">
        <v>40</v>
      </c>
      <c r="E1195" s="1001"/>
      <c r="F1195" s="1001">
        <v>12</v>
      </c>
      <c r="G1195" s="1001">
        <v>53000</v>
      </c>
      <c r="H1195" s="1001">
        <v>12</v>
      </c>
      <c r="I1195" s="1001">
        <v>51000</v>
      </c>
      <c r="J1195" s="1001">
        <v>12</v>
      </c>
      <c r="K1195" s="1001">
        <v>55000</v>
      </c>
      <c r="L1195" s="1001">
        <v>12</v>
      </c>
      <c r="M1195" s="1001">
        <v>60000</v>
      </c>
      <c r="N1195" s="1001">
        <v>12</v>
      </c>
      <c r="O1195" s="1001">
        <v>65000</v>
      </c>
      <c r="P1195" s="1001">
        <v>12</v>
      </c>
      <c r="Q1195" s="1001">
        <v>65000</v>
      </c>
      <c r="R1195" s="1001"/>
      <c r="S1195" s="1004"/>
      <c r="T1195" s="1004"/>
    </row>
    <row r="1196" spans="2:20" s="1003" customFormat="1" ht="63.75" customHeight="1" x14ac:dyDescent="0.25">
      <c r="B1196" s="1106" t="s">
        <v>1743</v>
      </c>
      <c r="C1196" s="1000" t="s">
        <v>3265</v>
      </c>
      <c r="D1196" s="1025" t="s">
        <v>19</v>
      </c>
      <c r="E1196" s="1001">
        <v>50</v>
      </c>
      <c r="F1196" s="1001">
        <v>60</v>
      </c>
      <c r="G1196" s="1001">
        <f>G1197+G1198</f>
        <v>56000</v>
      </c>
      <c r="H1196" s="1001">
        <v>70</v>
      </c>
      <c r="I1196" s="1001">
        <f>I1197+I1198</f>
        <v>58000</v>
      </c>
      <c r="J1196" s="1001">
        <v>80</v>
      </c>
      <c r="K1196" s="1001">
        <f>K1197+K1198</f>
        <v>60000</v>
      </c>
      <c r="L1196" s="1001">
        <v>90</v>
      </c>
      <c r="M1196" s="1001">
        <f>M1197+M1198</f>
        <v>62000</v>
      </c>
      <c r="N1196" s="1001">
        <v>100</v>
      </c>
      <c r="O1196" s="1001">
        <f>O1197+O1198</f>
        <v>62000</v>
      </c>
      <c r="P1196" s="1001">
        <v>100</v>
      </c>
      <c r="Q1196" s="1001">
        <f>Q1197+Q1198</f>
        <v>64000</v>
      </c>
      <c r="R1196" s="1001">
        <v>100</v>
      </c>
      <c r="S1196" s="1004"/>
      <c r="T1196" s="1004"/>
    </row>
    <row r="1197" spans="2:20" s="1003" customFormat="1" ht="25.5" x14ac:dyDescent="0.25">
      <c r="B1197" s="998" t="s">
        <v>3266</v>
      </c>
      <c r="C1197" s="1000" t="s">
        <v>3267</v>
      </c>
      <c r="D1197" s="1025" t="s">
        <v>103</v>
      </c>
      <c r="E1197" s="1001"/>
      <c r="F1197" s="1001">
        <v>20</v>
      </c>
      <c r="G1197" s="1001">
        <v>46000</v>
      </c>
      <c r="H1197" s="1001">
        <v>20</v>
      </c>
      <c r="I1197" s="1001">
        <v>48000</v>
      </c>
      <c r="J1197" s="1001">
        <v>20</v>
      </c>
      <c r="K1197" s="1001">
        <v>50000</v>
      </c>
      <c r="L1197" s="1001">
        <v>20</v>
      </c>
      <c r="M1197" s="1001">
        <v>52000</v>
      </c>
      <c r="N1197" s="1001">
        <v>20</v>
      </c>
      <c r="O1197" s="1001">
        <v>52000</v>
      </c>
      <c r="P1197" s="1001">
        <v>20</v>
      </c>
      <c r="Q1197" s="1001">
        <v>54000</v>
      </c>
      <c r="R1197" s="1001"/>
      <c r="S1197" s="1004"/>
      <c r="T1197" s="1004"/>
    </row>
    <row r="1198" spans="2:20" s="1003" customFormat="1" ht="76.5" x14ac:dyDescent="0.25">
      <c r="B1198" s="998" t="s">
        <v>3390</v>
      </c>
      <c r="C1198" s="1000" t="s">
        <v>3273</v>
      </c>
      <c r="D1198" s="1025" t="s">
        <v>103</v>
      </c>
      <c r="E1198" s="1001"/>
      <c r="F1198" s="1001">
        <v>20</v>
      </c>
      <c r="G1198" s="1001">
        <v>10000</v>
      </c>
      <c r="H1198" s="1001">
        <v>20</v>
      </c>
      <c r="I1198" s="1001">
        <v>10000</v>
      </c>
      <c r="J1198" s="1001">
        <v>20</v>
      </c>
      <c r="K1198" s="1001">
        <v>10000</v>
      </c>
      <c r="L1198" s="1001">
        <v>20</v>
      </c>
      <c r="M1198" s="1001">
        <v>10000</v>
      </c>
      <c r="N1198" s="1001">
        <v>20</v>
      </c>
      <c r="O1198" s="1001">
        <v>10000</v>
      </c>
      <c r="P1198" s="1001">
        <v>20</v>
      </c>
      <c r="Q1198" s="1001">
        <v>10000</v>
      </c>
      <c r="R1198" s="1001"/>
      <c r="S1198" s="1004"/>
      <c r="T1198" s="1004"/>
    </row>
    <row r="1199" spans="2:20" s="1003" customFormat="1" ht="60" x14ac:dyDescent="0.25">
      <c r="B1199" s="1106" t="s">
        <v>3618</v>
      </c>
      <c r="C1199" s="1000" t="s">
        <v>3619</v>
      </c>
      <c r="D1199" s="1025" t="s">
        <v>100</v>
      </c>
      <c r="E1199" s="1001"/>
      <c r="F1199" s="1001">
        <v>0</v>
      </c>
      <c r="G1199" s="1001"/>
      <c r="H1199" s="1001">
        <v>20</v>
      </c>
      <c r="I1199" s="1001">
        <f>SUM(I1200)</f>
        <v>8500</v>
      </c>
      <c r="J1199" s="1001">
        <v>0</v>
      </c>
      <c r="K1199" s="1001">
        <f>SUM(K1200)</f>
        <v>0</v>
      </c>
      <c r="L1199" s="1001">
        <v>20</v>
      </c>
      <c r="M1199" s="1001">
        <f>SUM(M1200)</f>
        <v>10000</v>
      </c>
      <c r="N1199" s="1001">
        <v>0</v>
      </c>
      <c r="O1199" s="1001">
        <f>SUM(O1200)</f>
        <v>0</v>
      </c>
      <c r="P1199" s="1001">
        <v>20</v>
      </c>
      <c r="Q1199" s="1001">
        <f>SUM(Q1200)</f>
        <v>10000</v>
      </c>
      <c r="R1199" s="1001"/>
      <c r="S1199" s="1004"/>
      <c r="T1199" s="1004"/>
    </row>
    <row r="1200" spans="2:20" s="1003" customFormat="1" ht="38.25" x14ac:dyDescent="0.25">
      <c r="B1200" s="998" t="s">
        <v>3620</v>
      </c>
      <c r="C1200" s="1000" t="s">
        <v>3621</v>
      </c>
      <c r="D1200" s="1025" t="s">
        <v>100</v>
      </c>
      <c r="E1200" s="1001"/>
      <c r="F1200" s="1001">
        <v>0</v>
      </c>
      <c r="G1200" s="1001">
        <v>0</v>
      </c>
      <c r="H1200" s="1001">
        <v>20</v>
      </c>
      <c r="I1200" s="1001">
        <v>8500</v>
      </c>
      <c r="J1200" s="1001">
        <v>0</v>
      </c>
      <c r="K1200" s="1001">
        <v>0</v>
      </c>
      <c r="L1200" s="1001">
        <v>20</v>
      </c>
      <c r="M1200" s="1001">
        <v>10000</v>
      </c>
      <c r="N1200" s="1001">
        <v>0</v>
      </c>
      <c r="O1200" s="1001">
        <v>0</v>
      </c>
      <c r="P1200" s="1001">
        <v>20</v>
      </c>
      <c r="Q1200" s="1001">
        <v>10000</v>
      </c>
      <c r="R1200" s="1001"/>
      <c r="S1200" s="1004"/>
      <c r="T1200" s="1004"/>
    </row>
    <row r="1201" spans="2:20" s="1003" customFormat="1" ht="76.5" x14ac:dyDescent="0.25">
      <c r="B1201" s="998" t="s">
        <v>3622</v>
      </c>
      <c r="C1201" s="1000" t="s">
        <v>3623</v>
      </c>
      <c r="D1201" s="1025" t="s">
        <v>100</v>
      </c>
      <c r="E1201" s="1001"/>
      <c r="F1201" s="1001">
        <v>0</v>
      </c>
      <c r="G1201" s="1001"/>
      <c r="H1201" s="1001">
        <v>20</v>
      </c>
      <c r="I1201" s="1001">
        <f>SUM(I1202)</f>
        <v>8500</v>
      </c>
      <c r="J1201" s="1001">
        <v>0</v>
      </c>
      <c r="K1201" s="1001">
        <f>SUM(K1202)</f>
        <v>0</v>
      </c>
      <c r="L1201" s="1001">
        <v>0</v>
      </c>
      <c r="M1201" s="1001">
        <f>SUM(M1202)</f>
        <v>0</v>
      </c>
      <c r="N1201" s="1001">
        <v>20</v>
      </c>
      <c r="O1201" s="1001">
        <f>SUM(O1202)</f>
        <v>10000</v>
      </c>
      <c r="P1201" s="1001">
        <v>0</v>
      </c>
      <c r="Q1201" s="1001">
        <f>SUM(Q1202)</f>
        <v>0</v>
      </c>
      <c r="R1201" s="1001"/>
      <c r="S1201" s="1004"/>
      <c r="T1201" s="1004"/>
    </row>
    <row r="1202" spans="2:20" s="1003" customFormat="1" ht="38.25" x14ac:dyDescent="0.25">
      <c r="B1202" s="998" t="s">
        <v>1720</v>
      </c>
      <c r="C1202" s="1000" t="s">
        <v>3624</v>
      </c>
      <c r="D1202" s="1025" t="s">
        <v>103</v>
      </c>
      <c r="E1202" s="1001"/>
      <c r="F1202" s="1001">
        <v>0</v>
      </c>
      <c r="G1202" s="1001">
        <v>0</v>
      </c>
      <c r="H1202" s="1001">
        <v>20</v>
      </c>
      <c r="I1202" s="1001">
        <v>8500</v>
      </c>
      <c r="J1202" s="1001">
        <f>-K1920</f>
        <v>0</v>
      </c>
      <c r="K1202" s="1001">
        <v>0</v>
      </c>
      <c r="L1202" s="1001">
        <v>0</v>
      </c>
      <c r="M1202" s="1001">
        <v>0</v>
      </c>
      <c r="N1202" s="1001">
        <v>20</v>
      </c>
      <c r="O1202" s="1001">
        <v>10000</v>
      </c>
      <c r="P1202" s="1001">
        <v>0</v>
      </c>
      <c r="Q1202" s="1001">
        <v>0</v>
      </c>
      <c r="R1202" s="1001"/>
      <c r="S1202" s="1004"/>
      <c r="T1202" s="1004"/>
    </row>
    <row r="1203" spans="2:20" s="1003" customFormat="1" ht="63.75" customHeight="1" x14ac:dyDescent="0.25">
      <c r="B1203" s="1008" t="s">
        <v>3425</v>
      </c>
      <c r="C1203" s="1000" t="s">
        <v>3274</v>
      </c>
      <c r="D1203" s="1025" t="s">
        <v>79</v>
      </c>
      <c r="E1203" s="1001">
        <v>1</v>
      </c>
      <c r="F1203" s="1001">
        <v>1</v>
      </c>
      <c r="G1203" s="1001">
        <f>G1204</f>
        <v>6000</v>
      </c>
      <c r="H1203" s="1001">
        <v>1</v>
      </c>
      <c r="I1203" s="1001">
        <f>I1204</f>
        <v>6000</v>
      </c>
      <c r="J1203" s="1001">
        <v>1</v>
      </c>
      <c r="K1203" s="1001">
        <f>K1204</f>
        <v>7000</v>
      </c>
      <c r="L1203" s="1001">
        <v>1</v>
      </c>
      <c r="M1203" s="1001">
        <f>M1204</f>
        <v>8000</v>
      </c>
      <c r="N1203" s="1001">
        <v>1</v>
      </c>
      <c r="O1203" s="1001">
        <f>O1204</f>
        <v>8000</v>
      </c>
      <c r="P1203" s="1001">
        <v>1</v>
      </c>
      <c r="Q1203" s="1001">
        <f>Q1204</f>
        <v>9000</v>
      </c>
      <c r="R1203" s="1001">
        <f>E1203+F1203+H1203+J1203+L1203+N1203</f>
        <v>6</v>
      </c>
      <c r="S1203" s="1004"/>
      <c r="T1203" s="1004"/>
    </row>
    <row r="1204" spans="2:20" s="1003" customFormat="1" ht="25.5" x14ac:dyDescent="0.25">
      <c r="B1204" s="1008" t="s">
        <v>3277</v>
      </c>
      <c r="C1204" s="1000" t="s">
        <v>3278</v>
      </c>
      <c r="D1204" s="1025" t="s">
        <v>103</v>
      </c>
      <c r="E1204" s="1001"/>
      <c r="F1204" s="1001">
        <v>20</v>
      </c>
      <c r="G1204" s="1001">
        <v>6000</v>
      </c>
      <c r="H1204" s="1001">
        <v>12</v>
      </c>
      <c r="I1204" s="1001">
        <v>6000</v>
      </c>
      <c r="J1204" s="1001">
        <v>12</v>
      </c>
      <c r="K1204" s="1001">
        <v>7000</v>
      </c>
      <c r="L1204" s="1001">
        <v>12</v>
      </c>
      <c r="M1204" s="1001">
        <v>8000</v>
      </c>
      <c r="N1204" s="1001">
        <v>12</v>
      </c>
      <c r="O1204" s="1001">
        <v>8000</v>
      </c>
      <c r="P1204" s="1001">
        <v>12</v>
      </c>
      <c r="Q1204" s="1001">
        <v>9000</v>
      </c>
      <c r="R1204" s="1001"/>
      <c r="S1204" s="1004"/>
      <c r="T1204" s="1004"/>
    </row>
    <row r="1205" spans="2:20" s="1003" customFormat="1" ht="38.25" x14ac:dyDescent="0.25">
      <c r="B1205" s="1063" t="s">
        <v>3302</v>
      </c>
      <c r="C1205" s="1000" t="s">
        <v>3625</v>
      </c>
      <c r="D1205" s="1029" t="s">
        <v>830</v>
      </c>
      <c r="E1205" s="1029"/>
      <c r="F1205" s="1001"/>
      <c r="G1205" s="1001"/>
      <c r="H1205" s="1001">
        <v>1</v>
      </c>
      <c r="I1205" s="1001">
        <f>I1206</f>
        <v>5000</v>
      </c>
      <c r="J1205" s="1001">
        <v>1</v>
      </c>
      <c r="K1205" s="1001">
        <f>K1206</f>
        <v>8000</v>
      </c>
      <c r="L1205" s="1001">
        <v>1</v>
      </c>
      <c r="M1205" s="1001">
        <f>M1206</f>
        <v>9000</v>
      </c>
      <c r="N1205" s="1001"/>
      <c r="O1205" s="1001">
        <f>O1206</f>
        <v>0</v>
      </c>
      <c r="P1205" s="1001"/>
      <c r="Q1205" s="1001">
        <f>Q1206</f>
        <v>0</v>
      </c>
      <c r="R1205" s="1001">
        <f>F1205+H1205+J1205+L1205+N1205</f>
        <v>3</v>
      </c>
      <c r="S1205" s="1004"/>
      <c r="T1205" s="1004"/>
    </row>
    <row r="1206" spans="2:20" s="1003" customFormat="1" ht="51" x14ac:dyDescent="0.25">
      <c r="B1206" s="1008" t="s">
        <v>3626</v>
      </c>
      <c r="C1206" s="1000" t="s">
        <v>3627</v>
      </c>
      <c r="D1206" s="1029" t="s">
        <v>103</v>
      </c>
      <c r="E1206" s="1029"/>
      <c r="F1206" s="1001">
        <v>0</v>
      </c>
      <c r="G1206" s="1001">
        <v>0</v>
      </c>
      <c r="H1206" s="1001">
        <v>20</v>
      </c>
      <c r="I1206" s="1001">
        <v>5000</v>
      </c>
      <c r="J1206" s="1001">
        <v>20</v>
      </c>
      <c r="K1206" s="1001">
        <v>8000</v>
      </c>
      <c r="L1206" s="1001">
        <v>20</v>
      </c>
      <c r="M1206" s="1001">
        <v>9000</v>
      </c>
      <c r="N1206" s="1001">
        <v>0</v>
      </c>
      <c r="O1206" s="1001">
        <v>0</v>
      </c>
      <c r="P1206" s="1001">
        <v>0</v>
      </c>
      <c r="Q1206" s="1001">
        <v>0</v>
      </c>
      <c r="R1206" s="1001"/>
      <c r="S1206" s="1004"/>
      <c r="T1206" s="1004"/>
    </row>
    <row r="1207" spans="2:20" s="1003" customFormat="1" ht="63.75" customHeight="1" x14ac:dyDescent="0.25">
      <c r="B1207" s="1063" t="s">
        <v>3280</v>
      </c>
      <c r="C1207" s="1000" t="s">
        <v>3279</v>
      </c>
      <c r="D1207" s="1025" t="s">
        <v>327</v>
      </c>
      <c r="E1207" s="1001">
        <v>4</v>
      </c>
      <c r="F1207" s="1001">
        <v>4</v>
      </c>
      <c r="G1207" s="1001">
        <f>SUM(G1208:G1208)</f>
        <v>4000</v>
      </c>
      <c r="H1207" s="1001">
        <v>4</v>
      </c>
      <c r="I1207" s="1001">
        <f>SUM(I1208:I1208)</f>
        <v>4500</v>
      </c>
      <c r="J1207" s="1001">
        <v>4</v>
      </c>
      <c r="K1207" s="1001">
        <f>SUM(K1208:K1208)</f>
        <v>5000</v>
      </c>
      <c r="L1207" s="1001">
        <v>4</v>
      </c>
      <c r="M1207" s="1001">
        <f>SUM(M1208:M1208)</f>
        <v>5500</v>
      </c>
      <c r="N1207" s="1001">
        <v>4</v>
      </c>
      <c r="O1207" s="1001">
        <f>SUM(O1208:O1208)</f>
        <v>6000</v>
      </c>
      <c r="P1207" s="1001">
        <v>4</v>
      </c>
      <c r="Q1207" s="1001">
        <f>SUM(Q1208:Q1208)</f>
        <v>6500</v>
      </c>
      <c r="R1207" s="1001">
        <f>N1207</f>
        <v>4</v>
      </c>
      <c r="S1207" s="1004"/>
      <c r="T1207" s="1004"/>
    </row>
    <row r="1208" spans="2:20" s="1003" customFormat="1" ht="38.25" x14ac:dyDescent="0.25">
      <c r="B1208" s="1008" t="s">
        <v>3282</v>
      </c>
      <c r="C1208" s="1000" t="s">
        <v>3283</v>
      </c>
      <c r="D1208" s="1025" t="s">
        <v>327</v>
      </c>
      <c r="E1208" s="1001"/>
      <c r="F1208" s="1001">
        <v>4</v>
      </c>
      <c r="G1208" s="1001">
        <v>4000</v>
      </c>
      <c r="H1208" s="1001">
        <v>4</v>
      </c>
      <c r="I1208" s="1001">
        <v>4500</v>
      </c>
      <c r="J1208" s="1001">
        <v>4</v>
      </c>
      <c r="K1208" s="1001">
        <v>5000</v>
      </c>
      <c r="L1208" s="1001">
        <v>4</v>
      </c>
      <c r="M1208" s="1001">
        <v>5500</v>
      </c>
      <c r="N1208" s="1001">
        <v>4</v>
      </c>
      <c r="O1208" s="1001">
        <v>6000</v>
      </c>
      <c r="P1208" s="1001">
        <v>4</v>
      </c>
      <c r="Q1208" s="1001">
        <v>6500</v>
      </c>
      <c r="R1208" s="1001"/>
      <c r="S1208" s="1004"/>
      <c r="T1208" s="1004"/>
    </row>
    <row r="1209" spans="2:20" s="1003" customFormat="1" ht="60" x14ac:dyDescent="0.25">
      <c r="B1209" s="1106" t="s">
        <v>3284</v>
      </c>
      <c r="C1209" s="1009" t="s">
        <v>3285</v>
      </c>
      <c r="D1209" s="1025" t="s">
        <v>364</v>
      </c>
      <c r="E1209" s="1001">
        <v>100</v>
      </c>
      <c r="F1209" s="1001">
        <v>90</v>
      </c>
      <c r="G1209" s="1001">
        <f>G1210</f>
        <v>0</v>
      </c>
      <c r="H1209" s="1001">
        <v>40</v>
      </c>
      <c r="I1209" s="1001">
        <f>I1210</f>
        <v>11000</v>
      </c>
      <c r="J1209" s="1001">
        <v>20</v>
      </c>
      <c r="K1209" s="1001">
        <f>K1210</f>
        <v>9000</v>
      </c>
      <c r="L1209" s="1001">
        <v>20</v>
      </c>
      <c r="M1209" s="1001">
        <f>M1210</f>
        <v>10000</v>
      </c>
      <c r="N1209" s="1001">
        <v>20</v>
      </c>
      <c r="O1209" s="1001">
        <f>O1210</f>
        <v>10000</v>
      </c>
      <c r="P1209" s="1001">
        <v>0</v>
      </c>
      <c r="Q1209" s="1001">
        <v>0</v>
      </c>
      <c r="R1209" s="1001">
        <f>N1209</f>
        <v>20</v>
      </c>
      <c r="S1209" s="1004"/>
      <c r="T1209" s="1004"/>
    </row>
    <row r="1210" spans="2:20" s="1003" customFormat="1" ht="63.75" x14ac:dyDescent="0.25">
      <c r="B1210" s="998" t="s">
        <v>3286</v>
      </c>
      <c r="C1210" s="1009" t="s">
        <v>3287</v>
      </c>
      <c r="D1210" s="1025" t="s">
        <v>100</v>
      </c>
      <c r="E1210" s="1001"/>
      <c r="F1210" s="1001">
        <v>0</v>
      </c>
      <c r="G1210" s="1001">
        <v>0</v>
      </c>
      <c r="H1210" s="1001">
        <v>40</v>
      </c>
      <c r="I1210" s="1001">
        <v>11000</v>
      </c>
      <c r="J1210" s="1001">
        <v>20</v>
      </c>
      <c r="K1210" s="1001">
        <v>9000</v>
      </c>
      <c r="L1210" s="1001">
        <v>20</v>
      </c>
      <c r="M1210" s="1001">
        <v>10000</v>
      </c>
      <c r="N1210" s="1001">
        <v>20</v>
      </c>
      <c r="O1210" s="1001">
        <v>10000</v>
      </c>
      <c r="P1210" s="1001">
        <v>0</v>
      </c>
      <c r="Q1210" s="1001">
        <v>0</v>
      </c>
      <c r="R1210" s="1001"/>
      <c r="S1210" s="1004"/>
      <c r="T1210" s="1004"/>
    </row>
    <row r="1211" spans="2:20" s="1003" customFormat="1" ht="48" x14ac:dyDescent="0.25">
      <c r="B1211" s="1106" t="s">
        <v>3289</v>
      </c>
      <c r="C1211" s="1009" t="s">
        <v>3288</v>
      </c>
      <c r="D1211" s="1025" t="s">
        <v>100</v>
      </c>
      <c r="E1211" s="1001">
        <v>30</v>
      </c>
      <c r="F1211" s="1001">
        <f>F1212</f>
        <v>30</v>
      </c>
      <c r="G1211" s="1001">
        <f t="shared" ref="G1211:Q1211" si="117">G1212</f>
        <v>12000</v>
      </c>
      <c r="H1211" s="1001">
        <f t="shared" si="117"/>
        <v>30</v>
      </c>
      <c r="I1211" s="1001">
        <f t="shared" si="117"/>
        <v>11500</v>
      </c>
      <c r="J1211" s="1001">
        <f t="shared" si="117"/>
        <v>30</v>
      </c>
      <c r="K1211" s="1001">
        <f t="shared" si="117"/>
        <v>12000</v>
      </c>
      <c r="L1211" s="1001">
        <f t="shared" si="117"/>
        <v>30</v>
      </c>
      <c r="M1211" s="1001">
        <f t="shared" si="117"/>
        <v>12000</v>
      </c>
      <c r="N1211" s="1001">
        <f t="shared" si="117"/>
        <v>30</v>
      </c>
      <c r="O1211" s="1001">
        <f t="shared" si="117"/>
        <v>14000</v>
      </c>
      <c r="P1211" s="1001">
        <f t="shared" si="117"/>
        <v>30</v>
      </c>
      <c r="Q1211" s="1001">
        <f t="shared" si="117"/>
        <v>14000</v>
      </c>
      <c r="R1211" s="1001">
        <v>100</v>
      </c>
      <c r="S1211" s="1004"/>
      <c r="T1211" s="1004"/>
    </row>
    <row r="1212" spans="2:20" s="1003" customFormat="1" ht="76.5" x14ac:dyDescent="0.25">
      <c r="B1212" s="998" t="s">
        <v>894</v>
      </c>
      <c r="C1212" s="1009" t="s">
        <v>3290</v>
      </c>
      <c r="D1212" s="1025" t="s">
        <v>100</v>
      </c>
      <c r="E1212" s="1001"/>
      <c r="F1212" s="1001">
        <v>30</v>
      </c>
      <c r="G1212" s="1001">
        <v>12000</v>
      </c>
      <c r="H1212" s="1001">
        <v>30</v>
      </c>
      <c r="I1212" s="1001">
        <v>11500</v>
      </c>
      <c r="J1212" s="1001">
        <v>30</v>
      </c>
      <c r="K1212" s="1001">
        <v>12000</v>
      </c>
      <c r="L1212" s="1001">
        <v>30</v>
      </c>
      <c r="M1212" s="1001">
        <v>12000</v>
      </c>
      <c r="N1212" s="1001">
        <v>30</v>
      </c>
      <c r="O1212" s="1001">
        <v>14000</v>
      </c>
      <c r="P1212" s="1001">
        <v>30</v>
      </c>
      <c r="Q1212" s="1001">
        <v>14000</v>
      </c>
      <c r="R1212" s="1001"/>
      <c r="S1212" s="1004"/>
      <c r="T1212" s="1004"/>
    </row>
    <row r="1213" spans="2:20" s="1003" customFormat="1" ht="60" x14ac:dyDescent="0.25">
      <c r="B1213" s="1063" t="s">
        <v>3292</v>
      </c>
      <c r="C1213" s="1000" t="s">
        <v>3291</v>
      </c>
      <c r="D1213" s="1025" t="s">
        <v>19</v>
      </c>
      <c r="E1213" s="1001">
        <v>75</v>
      </c>
      <c r="F1213" s="1001">
        <v>77</v>
      </c>
      <c r="G1213" s="1001">
        <f>G1214</f>
        <v>3000</v>
      </c>
      <c r="H1213" s="1001">
        <v>0</v>
      </c>
      <c r="I1213" s="1001">
        <f>I1214</f>
        <v>0</v>
      </c>
      <c r="J1213" s="1001">
        <v>0</v>
      </c>
      <c r="K1213" s="1001">
        <f>K1214</f>
        <v>0</v>
      </c>
      <c r="L1213" s="1001">
        <v>80</v>
      </c>
      <c r="M1213" s="1001">
        <f>M1214</f>
        <v>17000</v>
      </c>
      <c r="N1213" s="1001">
        <v>0</v>
      </c>
      <c r="O1213" s="1001">
        <f>O1214</f>
        <v>0</v>
      </c>
      <c r="P1213" s="1001">
        <v>0</v>
      </c>
      <c r="Q1213" s="1001">
        <v>0</v>
      </c>
      <c r="R1213" s="1001">
        <f>L1213</f>
        <v>80</v>
      </c>
      <c r="S1213" s="1004"/>
      <c r="T1213" s="1004"/>
    </row>
    <row r="1214" spans="2:20" s="1003" customFormat="1" ht="38.25" x14ac:dyDescent="0.25">
      <c r="B1214" s="1008" t="s">
        <v>3293</v>
      </c>
      <c r="C1214" s="1000" t="s">
        <v>3294</v>
      </c>
      <c r="D1214" s="1025" t="s">
        <v>103</v>
      </c>
      <c r="E1214" s="1001"/>
      <c r="F1214" s="1001">
        <v>3</v>
      </c>
      <c r="G1214" s="1001">
        <v>3000</v>
      </c>
      <c r="H1214" s="1001">
        <v>0</v>
      </c>
      <c r="I1214" s="1001">
        <v>0</v>
      </c>
      <c r="J1214" s="1001">
        <v>0</v>
      </c>
      <c r="K1214" s="1001">
        <v>0</v>
      </c>
      <c r="L1214" s="1001">
        <v>17</v>
      </c>
      <c r="M1214" s="1001">
        <v>17000</v>
      </c>
      <c r="N1214" s="1001">
        <v>0</v>
      </c>
      <c r="O1214" s="1001">
        <v>0</v>
      </c>
      <c r="P1214" s="1001"/>
      <c r="Q1214" s="1001">
        <v>0</v>
      </c>
      <c r="R1214" s="1001"/>
      <c r="S1214" s="1004"/>
      <c r="T1214" s="1004"/>
    </row>
    <row r="1215" spans="2:20" s="1003" customFormat="1" ht="60" x14ac:dyDescent="0.25">
      <c r="B1215" s="1063" t="s">
        <v>3296</v>
      </c>
      <c r="C1215" s="1000" t="s">
        <v>3295</v>
      </c>
      <c r="D1215" s="1025" t="s">
        <v>327</v>
      </c>
      <c r="E1215" s="1001">
        <v>20</v>
      </c>
      <c r="F1215" s="1001">
        <v>20</v>
      </c>
      <c r="G1215" s="1001">
        <f>G1216+G1206</f>
        <v>6000</v>
      </c>
      <c r="H1215" s="1001">
        <v>20</v>
      </c>
      <c r="I1215" s="1001">
        <f t="shared" ref="I1215:N1215" si="118">I1216</f>
        <v>5000</v>
      </c>
      <c r="J1215" s="1001">
        <f t="shared" si="118"/>
        <v>20</v>
      </c>
      <c r="K1215" s="1001">
        <f t="shared" si="118"/>
        <v>6000</v>
      </c>
      <c r="L1215" s="1001">
        <f t="shared" si="118"/>
        <v>20</v>
      </c>
      <c r="M1215" s="1001">
        <f t="shared" si="118"/>
        <v>6500</v>
      </c>
      <c r="N1215" s="1001">
        <f t="shared" si="118"/>
        <v>20</v>
      </c>
      <c r="O1215" s="1001">
        <f>O1216+O1206</f>
        <v>7000</v>
      </c>
      <c r="P1215" s="1001">
        <f>P1216</f>
        <v>20</v>
      </c>
      <c r="Q1215" s="1001">
        <f>Q1216</f>
        <v>7500</v>
      </c>
      <c r="R1215" s="1001">
        <f>N1215</f>
        <v>20</v>
      </c>
      <c r="S1215" s="1004"/>
      <c r="T1215" s="1004"/>
    </row>
    <row r="1216" spans="2:20" s="1003" customFormat="1" x14ac:dyDescent="0.25">
      <c r="B1216" s="1008" t="s">
        <v>383</v>
      </c>
      <c r="C1216" s="1000" t="s">
        <v>3297</v>
      </c>
      <c r="D1216" s="1025"/>
      <c r="E1216" s="1029" t="s">
        <v>103</v>
      </c>
      <c r="F1216" s="1001">
        <v>20</v>
      </c>
      <c r="G1216" s="1001">
        <v>6000</v>
      </c>
      <c r="H1216" s="1001">
        <v>20</v>
      </c>
      <c r="I1216" s="1001">
        <v>5000</v>
      </c>
      <c r="J1216" s="1001">
        <v>20</v>
      </c>
      <c r="K1216" s="1001">
        <v>6000</v>
      </c>
      <c r="L1216" s="1001">
        <v>20</v>
      </c>
      <c r="M1216" s="1001">
        <v>6500</v>
      </c>
      <c r="N1216" s="1001">
        <v>20</v>
      </c>
      <c r="O1216" s="1001">
        <v>7000</v>
      </c>
      <c r="P1216" s="1001">
        <v>20</v>
      </c>
      <c r="Q1216" s="1001">
        <v>7500</v>
      </c>
      <c r="R1216" s="1001"/>
      <c r="S1216" s="1004"/>
      <c r="T1216" s="1004"/>
    </row>
    <row r="1217" spans="2:20" s="1032" customFormat="1" x14ac:dyDescent="0.25">
      <c r="B1217" s="1027" t="s">
        <v>2651</v>
      </c>
      <c r="C1217" s="1033"/>
      <c r="D1217" s="1034"/>
      <c r="E1217" s="1033"/>
      <c r="F1217" s="1033"/>
      <c r="G1217" s="1042">
        <f>G1215+G1213+G1211+G1207+G1203+G1201+G1199+G1196+G1194+G1190+G1188+G1186+G1178+G1164</f>
        <v>324399</v>
      </c>
      <c r="H1217" s="1033"/>
      <c r="I1217" s="1042">
        <f>I1215+I1213+I1211+I1209+I1207+I1205+I1203+I1201+I1199+I1196+I1194+I1190+I1188+I1186+I1178+I1164</f>
        <v>331950</v>
      </c>
      <c r="J1217" s="1033"/>
      <c r="K1217" s="1042">
        <f>K1215+K1213+K1211+K1209+K1207+K1205+K1203+K1201+K1199+K1196+K1194+K1190+K1188+K1186+K1178+K1164</f>
        <v>356150</v>
      </c>
      <c r="L1217" s="1033"/>
      <c r="M1217" s="1042">
        <f>M1215+M1213+M1211+M1209+M1207+M1205+M1203+M1199+M1196+M1194+M1190+M1188+M1186+M1178+M1164</f>
        <v>392450</v>
      </c>
      <c r="N1217" s="1033"/>
      <c r="O1217" s="1042">
        <f>O1215+O1213+O1211+O1209+O1207+O1205+O1203+O1201+O1199+O1196+O1194+O1190+O1188+O1186+O1178+O1164</f>
        <v>390550</v>
      </c>
      <c r="P1217" s="1033"/>
      <c r="Q1217" s="1042">
        <f>Q1215+Q1213+Q1211+Q1207+Q1203+Q1201+Q1199+Q1196+Q1194+Q1190+Q1188+Q1186+Q1178+Q1164</f>
        <v>411260</v>
      </c>
      <c r="R1217" s="1033"/>
      <c r="S1217" s="1036"/>
      <c r="T1217" s="1036"/>
    </row>
    <row r="1218" spans="2:20" s="1003" customFormat="1" x14ac:dyDescent="0.25">
      <c r="B1218" s="1005"/>
      <c r="C1218" s="1100"/>
      <c r="D1218" s="1000"/>
      <c r="E1218" s="1001"/>
      <c r="F1218" s="1001"/>
      <c r="G1218" s="1001"/>
      <c r="H1218" s="1001"/>
      <c r="I1218" s="1001"/>
      <c r="J1218" s="1001"/>
      <c r="K1218" s="1001"/>
      <c r="L1218" s="1001"/>
      <c r="M1218" s="1001"/>
      <c r="N1218" s="1001"/>
      <c r="O1218" s="1001"/>
      <c r="P1218" s="1001"/>
      <c r="Q1218" s="1001"/>
      <c r="R1218" s="1001"/>
      <c r="S1218" s="1004"/>
      <c r="T1218" s="1004"/>
    </row>
    <row r="1219" spans="2:20" s="1003" customFormat="1" x14ac:dyDescent="0.25">
      <c r="B1219" s="1167" t="s">
        <v>3628</v>
      </c>
      <c r="C1219" s="1100"/>
      <c r="D1219" s="1000"/>
      <c r="E1219" s="1001"/>
      <c r="F1219" s="1001"/>
      <c r="G1219" s="1001"/>
      <c r="H1219" s="1001"/>
      <c r="I1219" s="1001"/>
      <c r="J1219" s="1001"/>
      <c r="K1219" s="1001"/>
      <c r="L1219" s="1001"/>
      <c r="M1219" s="1001"/>
      <c r="N1219" s="1001"/>
      <c r="O1219" s="1001"/>
      <c r="P1219" s="1001"/>
      <c r="Q1219" s="1001"/>
      <c r="R1219" s="1001"/>
      <c r="S1219" s="1004"/>
      <c r="T1219" s="1004"/>
    </row>
    <row r="1220" spans="2:20" s="1003" customFormat="1" ht="51" customHeight="1" x14ac:dyDescent="0.25">
      <c r="B1220" s="998"/>
      <c r="C1220" s="999" t="s">
        <v>3228</v>
      </c>
      <c r="D1220" s="1000" t="s">
        <v>19</v>
      </c>
      <c r="E1220" s="1001">
        <v>90</v>
      </c>
      <c r="F1220" s="1001">
        <v>93</v>
      </c>
      <c r="G1220" s="1001"/>
      <c r="H1220" s="1001">
        <v>94</v>
      </c>
      <c r="I1220" s="1001"/>
      <c r="J1220" s="1001">
        <v>95</v>
      </c>
      <c r="K1220" s="1001"/>
      <c r="L1220" s="1001">
        <v>96</v>
      </c>
      <c r="M1220" s="1001"/>
      <c r="N1220" s="1001">
        <v>97</v>
      </c>
      <c r="O1220" s="1001"/>
      <c r="P1220" s="1001">
        <v>98</v>
      </c>
      <c r="Q1220" s="1001"/>
      <c r="R1220" s="1001">
        <v>97</v>
      </c>
      <c r="S1220" s="1002"/>
      <c r="T1220" s="1002"/>
    </row>
    <row r="1221" spans="2:20" s="1003" customFormat="1" ht="63.75" x14ac:dyDescent="0.25">
      <c r="B1221" s="1106" t="s">
        <v>3229</v>
      </c>
      <c r="C1221" s="1000" t="s">
        <v>1488</v>
      </c>
      <c r="D1221" s="1000" t="s">
        <v>19</v>
      </c>
      <c r="E1221" s="1001">
        <v>100</v>
      </c>
      <c r="F1221" s="1001">
        <v>100</v>
      </c>
      <c r="G1221" s="1001">
        <f>SUM(G1222:G1234)</f>
        <v>92772</v>
      </c>
      <c r="H1221" s="1001">
        <v>100</v>
      </c>
      <c r="I1221" s="1001">
        <f>SUM(I1222:I1234)</f>
        <v>97063</v>
      </c>
      <c r="J1221" s="1001">
        <v>100</v>
      </c>
      <c r="K1221" s="1001">
        <f>SUM(K1222:K1234)</f>
        <v>116500</v>
      </c>
      <c r="L1221" s="1001">
        <v>100</v>
      </c>
      <c r="M1221" s="1001">
        <f>SUM(M1222:M1234)</f>
        <v>140000</v>
      </c>
      <c r="N1221" s="1001">
        <v>100</v>
      </c>
      <c r="O1221" s="1001">
        <f>SUM(O1222:O1234)</f>
        <v>140000</v>
      </c>
      <c r="P1221" s="1001">
        <v>100</v>
      </c>
      <c r="Q1221" s="1001">
        <f>SUM(Q1222:Q1234)</f>
        <v>140000</v>
      </c>
      <c r="R1221" s="1001">
        <v>100</v>
      </c>
      <c r="S1221" s="1004"/>
      <c r="T1221" s="1004"/>
    </row>
    <row r="1222" spans="2:20" s="1003" customFormat="1" ht="25.5" x14ac:dyDescent="0.25">
      <c r="B1222" s="998" t="s">
        <v>124</v>
      </c>
      <c r="C1222" s="1100" t="s">
        <v>3230</v>
      </c>
      <c r="D1222" s="1000" t="s">
        <v>40</v>
      </c>
      <c r="E1222" s="1001"/>
      <c r="F1222" s="1001">
        <v>12</v>
      </c>
      <c r="G1222" s="1001">
        <v>900</v>
      </c>
      <c r="H1222" s="1001">
        <v>12</v>
      </c>
      <c r="I1222" s="1001">
        <v>1000</v>
      </c>
      <c r="J1222" s="1001">
        <v>12</v>
      </c>
      <c r="K1222" s="1001">
        <v>2000</v>
      </c>
      <c r="L1222" s="1001">
        <v>12</v>
      </c>
      <c r="M1222" s="1001">
        <v>3000</v>
      </c>
      <c r="N1222" s="1001">
        <v>12</v>
      </c>
      <c r="O1222" s="1001">
        <v>3000</v>
      </c>
      <c r="P1222" s="1001">
        <v>12</v>
      </c>
      <c r="Q1222" s="1001">
        <v>3000</v>
      </c>
      <c r="R1222" s="1001"/>
      <c r="S1222" s="1004"/>
      <c r="T1222" s="1004"/>
    </row>
    <row r="1223" spans="2:20" s="1003" customFormat="1" ht="51" x14ac:dyDescent="0.25">
      <c r="B1223" s="1005" t="s">
        <v>126</v>
      </c>
      <c r="C1223" s="1100" t="s">
        <v>2518</v>
      </c>
      <c r="D1223" s="1000" t="s">
        <v>40</v>
      </c>
      <c r="E1223" s="1001"/>
      <c r="F1223" s="1001">
        <v>12</v>
      </c>
      <c r="G1223" s="1001">
        <v>19000</v>
      </c>
      <c r="H1223" s="1001">
        <v>12</v>
      </c>
      <c r="I1223" s="1001">
        <v>19000</v>
      </c>
      <c r="J1223" s="1001">
        <v>12</v>
      </c>
      <c r="K1223" s="1001">
        <v>20000</v>
      </c>
      <c r="L1223" s="1001">
        <v>12</v>
      </c>
      <c r="M1223" s="1001">
        <v>20000</v>
      </c>
      <c r="N1223" s="1001">
        <v>12</v>
      </c>
      <c r="O1223" s="1001">
        <v>20000</v>
      </c>
      <c r="P1223" s="1001">
        <v>12</v>
      </c>
      <c r="Q1223" s="1001">
        <v>20000</v>
      </c>
      <c r="R1223" s="1001"/>
      <c r="S1223" s="1004"/>
      <c r="T1223" s="1004"/>
    </row>
    <row r="1224" spans="2:20" s="1003" customFormat="1" ht="76.5" x14ac:dyDescent="0.25">
      <c r="B1224" s="1005" t="s">
        <v>3231</v>
      </c>
      <c r="C1224" s="1100" t="s">
        <v>2519</v>
      </c>
      <c r="D1224" s="1000" t="s">
        <v>40</v>
      </c>
      <c r="E1224" s="1001"/>
      <c r="F1224" s="1001">
        <v>12</v>
      </c>
      <c r="G1224" s="1001">
        <v>18500</v>
      </c>
      <c r="H1224" s="1001">
        <v>12</v>
      </c>
      <c r="I1224" s="1001">
        <v>19000</v>
      </c>
      <c r="J1224" s="1001">
        <v>12</v>
      </c>
      <c r="K1224" s="1001">
        <v>19000</v>
      </c>
      <c r="L1224" s="1001">
        <v>12</v>
      </c>
      <c r="M1224" s="1001">
        <v>19000</v>
      </c>
      <c r="N1224" s="1001">
        <v>12</v>
      </c>
      <c r="O1224" s="1001">
        <v>19000</v>
      </c>
      <c r="P1224" s="1001">
        <v>12</v>
      </c>
      <c r="Q1224" s="1001">
        <v>19000</v>
      </c>
      <c r="R1224" s="1001"/>
      <c r="S1224" s="1004"/>
      <c r="T1224" s="1004"/>
    </row>
    <row r="1225" spans="2:20" s="1003" customFormat="1" ht="38.25" x14ac:dyDescent="0.25">
      <c r="B1225" s="1005" t="s">
        <v>45</v>
      </c>
      <c r="C1225" s="1100" t="s">
        <v>2520</v>
      </c>
      <c r="D1225" s="1000" t="s">
        <v>40</v>
      </c>
      <c r="E1225" s="1001"/>
      <c r="F1225" s="1001">
        <v>12</v>
      </c>
      <c r="G1225" s="1001">
        <v>12500</v>
      </c>
      <c r="H1225" s="1001">
        <v>12</v>
      </c>
      <c r="I1225" s="1001">
        <v>12500</v>
      </c>
      <c r="J1225" s="1001">
        <v>12</v>
      </c>
      <c r="K1225" s="1001">
        <v>15000</v>
      </c>
      <c r="L1225" s="1001">
        <v>12</v>
      </c>
      <c r="M1225" s="1001">
        <v>20000</v>
      </c>
      <c r="N1225" s="1001">
        <v>12</v>
      </c>
      <c r="O1225" s="1001">
        <v>20000</v>
      </c>
      <c r="P1225" s="1001">
        <v>12</v>
      </c>
      <c r="Q1225" s="1001">
        <v>20000</v>
      </c>
      <c r="R1225" s="1001"/>
      <c r="S1225" s="1004"/>
      <c r="T1225" s="1004"/>
    </row>
    <row r="1226" spans="2:20" s="1003" customFormat="1" ht="38.25" x14ac:dyDescent="0.25">
      <c r="B1226" s="1005" t="s">
        <v>47</v>
      </c>
      <c r="C1226" s="1100" t="s">
        <v>2521</v>
      </c>
      <c r="D1226" s="1000" t="s">
        <v>40</v>
      </c>
      <c r="E1226" s="1001"/>
      <c r="F1226" s="1001">
        <v>12</v>
      </c>
      <c r="G1226" s="1001">
        <v>2000</v>
      </c>
      <c r="H1226" s="1001">
        <v>12</v>
      </c>
      <c r="I1226" s="1001">
        <v>2500</v>
      </c>
      <c r="J1226" s="1001">
        <v>12</v>
      </c>
      <c r="K1226" s="1001">
        <v>3500</v>
      </c>
      <c r="L1226" s="1001">
        <v>12</v>
      </c>
      <c r="M1226" s="1001">
        <v>10000</v>
      </c>
      <c r="N1226" s="1001">
        <v>12</v>
      </c>
      <c r="O1226" s="1001">
        <v>10000</v>
      </c>
      <c r="P1226" s="1001">
        <v>12</v>
      </c>
      <c r="Q1226" s="1001">
        <v>10000</v>
      </c>
      <c r="R1226" s="1001"/>
      <c r="S1226" s="1004"/>
      <c r="T1226" s="1004"/>
    </row>
    <row r="1227" spans="2:20" s="1003" customFormat="1" ht="51" x14ac:dyDescent="0.25">
      <c r="B1227" s="1005" t="s">
        <v>923</v>
      </c>
      <c r="C1227" s="1100" t="s">
        <v>2522</v>
      </c>
      <c r="D1227" s="1000" t="s">
        <v>40</v>
      </c>
      <c r="E1227" s="1001"/>
      <c r="F1227" s="1001">
        <v>12</v>
      </c>
      <c r="G1227" s="1001">
        <v>2750</v>
      </c>
      <c r="H1227" s="1001">
        <v>12</v>
      </c>
      <c r="I1227" s="1001">
        <v>3000</v>
      </c>
      <c r="J1227" s="1001">
        <v>12</v>
      </c>
      <c r="K1227" s="1001">
        <v>5000</v>
      </c>
      <c r="L1227" s="1001">
        <v>12</v>
      </c>
      <c r="M1227" s="1001">
        <v>8000</v>
      </c>
      <c r="N1227" s="1001">
        <v>12</v>
      </c>
      <c r="O1227" s="1001">
        <v>8000</v>
      </c>
      <c r="P1227" s="1001">
        <v>12</v>
      </c>
      <c r="Q1227" s="1001">
        <v>8000</v>
      </c>
      <c r="R1227" s="1001"/>
      <c r="S1227" s="1004"/>
      <c r="T1227" s="1004"/>
    </row>
    <row r="1228" spans="2:20" s="1003" customFormat="1" ht="38.25" x14ac:dyDescent="0.25">
      <c r="B1228" s="1005" t="s">
        <v>50</v>
      </c>
      <c r="C1228" s="1100" t="s">
        <v>2523</v>
      </c>
      <c r="D1228" s="1000" t="s">
        <v>40</v>
      </c>
      <c r="E1228" s="1001"/>
      <c r="F1228" s="1001">
        <v>12</v>
      </c>
      <c r="G1228" s="1001">
        <v>7700</v>
      </c>
      <c r="H1228" s="1001">
        <v>12</v>
      </c>
      <c r="I1228" s="1001">
        <v>8000</v>
      </c>
      <c r="J1228" s="1001">
        <v>12</v>
      </c>
      <c r="K1228" s="1001">
        <v>10000</v>
      </c>
      <c r="L1228" s="1001">
        <v>12</v>
      </c>
      <c r="M1228" s="1001">
        <v>12000</v>
      </c>
      <c r="N1228" s="1001">
        <v>12</v>
      </c>
      <c r="O1228" s="1001">
        <v>12000</v>
      </c>
      <c r="P1228" s="1001">
        <v>12</v>
      </c>
      <c r="Q1228" s="1001">
        <v>12000</v>
      </c>
      <c r="R1228" s="1001"/>
      <c r="S1228" s="1004"/>
      <c r="T1228" s="1004"/>
    </row>
    <row r="1229" spans="2:20" s="1003" customFormat="1" ht="51" x14ac:dyDescent="0.25">
      <c r="B1229" s="1005" t="s">
        <v>52</v>
      </c>
      <c r="C1229" s="1100" t="s">
        <v>2524</v>
      </c>
      <c r="D1229" s="1000" t="s">
        <v>40</v>
      </c>
      <c r="E1229" s="1001"/>
      <c r="F1229" s="1001">
        <v>12</v>
      </c>
      <c r="G1229" s="1001">
        <v>1500</v>
      </c>
      <c r="H1229" s="1001">
        <v>12</v>
      </c>
      <c r="I1229" s="1001">
        <v>2500</v>
      </c>
      <c r="J1229" s="1001">
        <v>12</v>
      </c>
      <c r="K1229" s="1001">
        <v>4000</v>
      </c>
      <c r="L1229" s="1001">
        <v>12</v>
      </c>
      <c r="M1229" s="1001">
        <v>6000</v>
      </c>
      <c r="N1229" s="1001">
        <v>12</v>
      </c>
      <c r="O1229" s="1001">
        <v>6000</v>
      </c>
      <c r="P1229" s="1001">
        <v>12</v>
      </c>
      <c r="Q1229" s="1001">
        <v>6000</v>
      </c>
      <c r="R1229" s="1001"/>
      <c r="S1229" s="1004"/>
      <c r="T1229" s="1004"/>
    </row>
    <row r="1230" spans="2:20" s="1003" customFormat="1" ht="76.5" x14ac:dyDescent="0.25">
      <c r="B1230" s="1005" t="s">
        <v>782</v>
      </c>
      <c r="C1230" s="1100" t="s">
        <v>2525</v>
      </c>
      <c r="D1230" s="1000" t="s">
        <v>40</v>
      </c>
      <c r="E1230" s="1001"/>
      <c r="F1230" s="1001">
        <v>12</v>
      </c>
      <c r="G1230" s="1001">
        <v>2422</v>
      </c>
      <c r="H1230" s="1001">
        <v>12</v>
      </c>
      <c r="I1230" s="1001">
        <v>2563</v>
      </c>
      <c r="J1230" s="1001">
        <v>12</v>
      </c>
      <c r="K1230" s="1001">
        <v>5000</v>
      </c>
      <c r="L1230" s="1001">
        <v>12</v>
      </c>
      <c r="M1230" s="1001">
        <v>6000</v>
      </c>
      <c r="N1230" s="1001">
        <v>12</v>
      </c>
      <c r="O1230" s="1001">
        <v>6000</v>
      </c>
      <c r="P1230" s="1001">
        <v>12</v>
      </c>
      <c r="Q1230" s="1001">
        <v>6000</v>
      </c>
      <c r="R1230" s="1001"/>
      <c r="S1230" s="1004"/>
      <c r="T1230" s="1004"/>
    </row>
    <row r="1231" spans="2:20" s="1003" customFormat="1" ht="63.75" x14ac:dyDescent="0.25">
      <c r="B1231" s="1005" t="s">
        <v>3232</v>
      </c>
      <c r="C1231" s="1100" t="s">
        <v>2526</v>
      </c>
      <c r="D1231" s="1000" t="s">
        <v>40</v>
      </c>
      <c r="E1231" s="1001"/>
      <c r="F1231" s="1001">
        <v>12</v>
      </c>
      <c r="G1231" s="1001">
        <v>1500</v>
      </c>
      <c r="H1231" s="1001">
        <v>12</v>
      </c>
      <c r="I1231" s="1001">
        <v>2000</v>
      </c>
      <c r="J1231" s="1001">
        <v>12</v>
      </c>
      <c r="K1231" s="1001">
        <v>3000</v>
      </c>
      <c r="L1231" s="1001">
        <v>12</v>
      </c>
      <c r="M1231" s="1001">
        <v>5000</v>
      </c>
      <c r="N1231" s="1001">
        <v>12</v>
      </c>
      <c r="O1231" s="1001">
        <v>5000</v>
      </c>
      <c r="P1231" s="1001">
        <v>12</v>
      </c>
      <c r="Q1231" s="1001">
        <v>5000</v>
      </c>
      <c r="R1231" s="1001"/>
      <c r="S1231" s="1004"/>
      <c r="T1231" s="1004"/>
    </row>
    <row r="1232" spans="2:20" s="1003" customFormat="1" ht="38.25" x14ac:dyDescent="0.25">
      <c r="B1232" s="1005" t="s">
        <v>58</v>
      </c>
      <c r="C1232" s="1100" t="s">
        <v>2527</v>
      </c>
      <c r="D1232" s="1000" t="s">
        <v>40</v>
      </c>
      <c r="E1232" s="1001"/>
      <c r="F1232" s="1001">
        <v>12</v>
      </c>
      <c r="G1232" s="1001">
        <v>6500</v>
      </c>
      <c r="H1232" s="1001">
        <v>12</v>
      </c>
      <c r="I1232" s="1001">
        <v>6500</v>
      </c>
      <c r="J1232" s="1001">
        <v>12</v>
      </c>
      <c r="K1232" s="1001">
        <v>8000</v>
      </c>
      <c r="L1232" s="1001">
        <v>12</v>
      </c>
      <c r="M1232" s="1001">
        <v>10000</v>
      </c>
      <c r="N1232" s="1001">
        <v>12</v>
      </c>
      <c r="O1232" s="1001">
        <v>10000</v>
      </c>
      <c r="P1232" s="1001">
        <v>12</v>
      </c>
      <c r="Q1232" s="1001">
        <v>10000</v>
      </c>
      <c r="R1232" s="1001"/>
      <c r="S1232" s="1004"/>
      <c r="T1232" s="1004"/>
    </row>
    <row r="1233" spans="2:20" s="1003" customFormat="1" ht="51" x14ac:dyDescent="0.25">
      <c r="B1233" s="1005" t="s">
        <v>3233</v>
      </c>
      <c r="C1233" s="1100" t="s">
        <v>2529</v>
      </c>
      <c r="D1233" s="1000" t="s">
        <v>40</v>
      </c>
      <c r="E1233" s="1001"/>
      <c r="F1233" s="1001">
        <v>12</v>
      </c>
      <c r="G1233" s="1001">
        <v>15000</v>
      </c>
      <c r="H1233" s="1001">
        <v>12</v>
      </c>
      <c r="I1233" s="1001">
        <v>16000</v>
      </c>
      <c r="J1233" s="1001">
        <v>12</v>
      </c>
      <c r="K1233" s="1001">
        <v>18000</v>
      </c>
      <c r="L1233" s="1001">
        <v>12</v>
      </c>
      <c r="M1233" s="1001">
        <v>18000</v>
      </c>
      <c r="N1233" s="1001">
        <v>12</v>
      </c>
      <c r="O1233" s="1001">
        <v>18000</v>
      </c>
      <c r="P1233" s="1001">
        <v>12</v>
      </c>
      <c r="Q1233" s="1001">
        <v>18000</v>
      </c>
      <c r="R1233" s="1001"/>
      <c r="S1233" s="1004"/>
      <c r="T1233" s="1004"/>
    </row>
    <row r="1234" spans="2:20" s="1003" customFormat="1" ht="51" x14ac:dyDescent="0.25">
      <c r="B1234" s="1102" t="s">
        <v>137</v>
      </c>
      <c r="C1234" s="1100" t="s">
        <v>2528</v>
      </c>
      <c r="D1234" s="1000" t="s">
        <v>40</v>
      </c>
      <c r="E1234" s="1001"/>
      <c r="F1234" s="1001">
        <v>12</v>
      </c>
      <c r="G1234" s="1001">
        <v>2500</v>
      </c>
      <c r="H1234" s="1001">
        <v>12</v>
      </c>
      <c r="I1234" s="1001">
        <v>2500</v>
      </c>
      <c r="J1234" s="1001">
        <v>12</v>
      </c>
      <c r="K1234" s="1001">
        <v>4000</v>
      </c>
      <c r="L1234" s="1001">
        <v>12</v>
      </c>
      <c r="M1234" s="1001">
        <v>3000</v>
      </c>
      <c r="N1234" s="1001">
        <v>12</v>
      </c>
      <c r="O1234" s="1001">
        <v>3000</v>
      </c>
      <c r="P1234" s="1001">
        <v>12</v>
      </c>
      <c r="Q1234" s="1001">
        <v>3000</v>
      </c>
      <c r="R1234" s="1001"/>
      <c r="S1234" s="1004"/>
      <c r="T1234" s="1004"/>
    </row>
    <row r="1235" spans="2:20" s="1003" customFormat="1" ht="38.25" customHeight="1" x14ac:dyDescent="0.25">
      <c r="B1235" s="1061" t="s">
        <v>65</v>
      </c>
      <c r="C1235" s="999" t="s">
        <v>3234</v>
      </c>
      <c r="D1235" s="999" t="s">
        <v>19</v>
      </c>
      <c r="E1235" s="1001">
        <v>70</v>
      </c>
      <c r="F1235" s="1001">
        <v>3</v>
      </c>
      <c r="G1235" s="2114">
        <f>SUM(G1237:G1242)</f>
        <v>45500</v>
      </c>
      <c r="H1235" s="1001">
        <v>2</v>
      </c>
      <c r="I1235" s="2114">
        <f>SUM(I1237:I1242)</f>
        <v>45000</v>
      </c>
      <c r="J1235" s="1001">
        <v>3</v>
      </c>
      <c r="K1235" s="2114">
        <f>SUM(K1237:K1242)</f>
        <v>66000</v>
      </c>
      <c r="L1235" s="1001">
        <v>2</v>
      </c>
      <c r="M1235" s="2114">
        <f>SUM(M1237:M1242)</f>
        <v>67000</v>
      </c>
      <c r="N1235" s="1001">
        <v>3</v>
      </c>
      <c r="O1235" s="2114">
        <f>SUM(O1237:O1242)</f>
        <v>69000</v>
      </c>
      <c r="P1235" s="1001">
        <v>2</v>
      </c>
      <c r="Q1235" s="2114">
        <f>SUM(Q1237:Q1242)</f>
        <v>79000</v>
      </c>
      <c r="R1235" s="1001">
        <f>E1235+F1235+H1235+J1235+L1235+N1235</f>
        <v>83</v>
      </c>
      <c r="S1235" s="1004"/>
      <c r="T1235" s="1004"/>
    </row>
    <row r="1236" spans="2:20" s="1003" customFormat="1" ht="38.25" x14ac:dyDescent="0.25">
      <c r="B1236" s="1067"/>
      <c r="C1236" s="999" t="s">
        <v>3235</v>
      </c>
      <c r="D1236" s="999" t="s">
        <v>19</v>
      </c>
      <c r="E1236" s="1001">
        <v>100</v>
      </c>
      <c r="F1236" s="1001">
        <v>100</v>
      </c>
      <c r="G1236" s="2114"/>
      <c r="H1236" s="1001">
        <v>100</v>
      </c>
      <c r="I1236" s="2114"/>
      <c r="J1236" s="1001">
        <v>100</v>
      </c>
      <c r="K1236" s="2114"/>
      <c r="L1236" s="1001">
        <v>100</v>
      </c>
      <c r="M1236" s="2114"/>
      <c r="N1236" s="1001">
        <v>100</v>
      </c>
      <c r="O1236" s="2114"/>
      <c r="P1236" s="1001">
        <v>100</v>
      </c>
      <c r="Q1236" s="2114"/>
      <c r="R1236" s="1001">
        <v>100</v>
      </c>
      <c r="S1236" s="1004"/>
      <c r="T1236" s="1004"/>
    </row>
    <row r="1237" spans="2:20" s="1003" customFormat="1" ht="38.25" x14ac:dyDescent="0.25">
      <c r="B1237" s="1007" t="s">
        <v>144</v>
      </c>
      <c r="C1237" s="999" t="s">
        <v>3408</v>
      </c>
      <c r="D1237" s="999" t="s">
        <v>69</v>
      </c>
      <c r="E1237" s="1001"/>
      <c r="F1237" s="1001">
        <v>2</v>
      </c>
      <c r="G1237" s="1001"/>
      <c r="H1237" s="1001">
        <v>2</v>
      </c>
      <c r="I1237" s="1001"/>
      <c r="J1237" s="1001">
        <v>2</v>
      </c>
      <c r="K1237" s="1001">
        <v>10000</v>
      </c>
      <c r="L1237" s="1001">
        <v>2</v>
      </c>
      <c r="M1237" s="1001">
        <v>10000</v>
      </c>
      <c r="N1237" s="1001">
        <v>2</v>
      </c>
      <c r="O1237" s="1001">
        <v>10000</v>
      </c>
      <c r="P1237" s="1001">
        <v>2</v>
      </c>
      <c r="Q1237" s="1001">
        <v>10000</v>
      </c>
      <c r="R1237" s="1001"/>
      <c r="S1237" s="1004"/>
      <c r="T1237" s="1004"/>
    </row>
    <row r="1238" spans="2:20" s="1003" customFormat="1" ht="25.5" x14ac:dyDescent="0.25">
      <c r="B1238" s="998" t="s">
        <v>3236</v>
      </c>
      <c r="C1238" s="1000" t="s">
        <v>3409</v>
      </c>
      <c r="D1238" s="1000" t="s">
        <v>75</v>
      </c>
      <c r="E1238" s="1001"/>
      <c r="F1238" s="1001">
        <v>10</v>
      </c>
      <c r="G1238" s="1001">
        <v>13500</v>
      </c>
      <c r="H1238" s="1001">
        <v>0</v>
      </c>
      <c r="I1238" s="1001">
        <v>10000</v>
      </c>
      <c r="J1238" s="1001">
        <v>20</v>
      </c>
      <c r="K1238" s="1001">
        <v>10000</v>
      </c>
      <c r="L1238" s="1001">
        <v>0</v>
      </c>
      <c r="M1238" s="1001">
        <v>10000</v>
      </c>
      <c r="N1238" s="1001">
        <v>0</v>
      </c>
      <c r="O1238" s="1001">
        <v>10000</v>
      </c>
      <c r="P1238" s="1001">
        <v>30</v>
      </c>
      <c r="Q1238" s="1001">
        <v>10000</v>
      </c>
      <c r="R1238" s="1001"/>
      <c r="S1238" s="1004"/>
      <c r="T1238" s="1004"/>
    </row>
    <row r="1239" spans="2:20" s="1003" customFormat="1" ht="25.5" x14ac:dyDescent="0.25">
      <c r="B1239" s="998" t="s">
        <v>3238</v>
      </c>
      <c r="C1239" s="1000" t="s">
        <v>3461</v>
      </c>
      <c r="D1239" s="1000" t="s">
        <v>75</v>
      </c>
      <c r="E1239" s="1001"/>
      <c r="F1239" s="1001">
        <v>1</v>
      </c>
      <c r="G1239" s="1001">
        <v>14500</v>
      </c>
      <c r="H1239" s="1001">
        <v>0</v>
      </c>
      <c r="I1239" s="1001">
        <v>15000</v>
      </c>
      <c r="J1239" s="1001">
        <v>2</v>
      </c>
      <c r="K1239" s="1001">
        <v>15000</v>
      </c>
      <c r="L1239" s="1001">
        <v>0</v>
      </c>
      <c r="M1239" s="1001">
        <v>15000</v>
      </c>
      <c r="N1239" s="1001">
        <v>0</v>
      </c>
      <c r="O1239" s="1001">
        <v>15000</v>
      </c>
      <c r="P1239" s="1001">
        <v>3</v>
      </c>
      <c r="Q1239" s="1001">
        <v>25000</v>
      </c>
      <c r="R1239" s="1001"/>
      <c r="S1239" s="1004"/>
      <c r="T1239" s="1004"/>
    </row>
    <row r="1240" spans="2:20" s="1003" customFormat="1" ht="38.25" x14ac:dyDescent="0.25">
      <c r="B1240" s="1007" t="s">
        <v>3240</v>
      </c>
      <c r="C1240" s="999" t="s">
        <v>3241</v>
      </c>
      <c r="D1240" s="999" t="s">
        <v>40</v>
      </c>
      <c r="E1240" s="1001"/>
      <c r="F1240" s="1001">
        <v>12</v>
      </c>
      <c r="G1240" s="1001">
        <v>0</v>
      </c>
      <c r="H1240" s="1001">
        <v>12</v>
      </c>
      <c r="I1240" s="1001">
        <v>0</v>
      </c>
      <c r="J1240" s="1001">
        <v>12</v>
      </c>
      <c r="K1240" s="1001">
        <v>5000</v>
      </c>
      <c r="L1240" s="1001">
        <v>12</v>
      </c>
      <c r="M1240" s="1001">
        <v>6000</v>
      </c>
      <c r="N1240" s="1001">
        <v>12</v>
      </c>
      <c r="O1240" s="1001">
        <v>7000</v>
      </c>
      <c r="P1240" s="1001">
        <v>12</v>
      </c>
      <c r="Q1240" s="1001">
        <v>7000</v>
      </c>
      <c r="R1240" s="1001"/>
      <c r="S1240" s="1004"/>
      <c r="T1240" s="1004"/>
    </row>
    <row r="1241" spans="2:20" s="1003" customFormat="1" ht="38.25" x14ac:dyDescent="0.25">
      <c r="B1241" s="1007" t="s">
        <v>3242</v>
      </c>
      <c r="C1241" s="999" t="s">
        <v>3160</v>
      </c>
      <c r="D1241" s="999" t="s">
        <v>40</v>
      </c>
      <c r="E1241" s="1001"/>
      <c r="F1241" s="1001">
        <v>12</v>
      </c>
      <c r="G1241" s="1001">
        <v>17500</v>
      </c>
      <c r="H1241" s="1001">
        <v>12</v>
      </c>
      <c r="I1241" s="1001">
        <v>20000</v>
      </c>
      <c r="J1241" s="1001">
        <v>12</v>
      </c>
      <c r="K1241" s="1001">
        <v>20000</v>
      </c>
      <c r="L1241" s="1001">
        <v>12</v>
      </c>
      <c r="M1241" s="1001">
        <v>20000</v>
      </c>
      <c r="N1241" s="1001">
        <v>12</v>
      </c>
      <c r="O1241" s="1001">
        <v>20000</v>
      </c>
      <c r="P1241" s="1001">
        <v>12</v>
      </c>
      <c r="Q1241" s="1001">
        <v>20000</v>
      </c>
      <c r="R1241" s="1001"/>
      <c r="S1241" s="1004"/>
      <c r="T1241" s="1004"/>
    </row>
    <row r="1242" spans="2:20" s="1003" customFormat="1" ht="38.25" x14ac:dyDescent="0.25">
      <c r="B1242" s="1007" t="s">
        <v>3243</v>
      </c>
      <c r="C1242" s="999" t="s">
        <v>3244</v>
      </c>
      <c r="D1242" s="999" t="s">
        <v>40</v>
      </c>
      <c r="E1242" s="1001"/>
      <c r="F1242" s="1001">
        <v>12</v>
      </c>
      <c r="G1242" s="1001">
        <v>0</v>
      </c>
      <c r="H1242" s="1001">
        <v>12</v>
      </c>
      <c r="I1242" s="1001">
        <v>0</v>
      </c>
      <c r="J1242" s="1001">
        <v>12</v>
      </c>
      <c r="K1242" s="1001">
        <v>6000</v>
      </c>
      <c r="L1242" s="1001">
        <v>12</v>
      </c>
      <c r="M1242" s="1001">
        <v>6000</v>
      </c>
      <c r="N1242" s="1001">
        <v>12</v>
      </c>
      <c r="O1242" s="1001">
        <v>7000</v>
      </c>
      <c r="P1242" s="1001">
        <v>12</v>
      </c>
      <c r="Q1242" s="1001">
        <v>7000</v>
      </c>
      <c r="R1242" s="1001"/>
      <c r="S1242" s="1004"/>
      <c r="T1242" s="1004"/>
    </row>
    <row r="1243" spans="2:20" s="1003" customFormat="1" ht="63.75" x14ac:dyDescent="0.25">
      <c r="B1243" s="1106" t="s">
        <v>3245</v>
      </c>
      <c r="C1243" s="1000" t="s">
        <v>3246</v>
      </c>
      <c r="D1243" s="1000" t="s">
        <v>79</v>
      </c>
      <c r="E1243" s="1001">
        <v>10</v>
      </c>
      <c r="F1243" s="1001">
        <f>F1244</f>
        <v>2</v>
      </c>
      <c r="G1243" s="1001">
        <v>3500</v>
      </c>
      <c r="H1243" s="1001">
        <f t="shared" ref="H1243:Q1243" si="119">H1244</f>
        <v>2</v>
      </c>
      <c r="I1243" s="1001">
        <f t="shared" si="119"/>
        <v>3500</v>
      </c>
      <c r="J1243" s="1001">
        <f t="shared" si="119"/>
        <v>2</v>
      </c>
      <c r="K1243" s="1001">
        <f t="shared" si="119"/>
        <v>5000</v>
      </c>
      <c r="L1243" s="1001">
        <f t="shared" si="119"/>
        <v>2</v>
      </c>
      <c r="M1243" s="1001">
        <f t="shared" si="119"/>
        <v>6500</v>
      </c>
      <c r="N1243" s="1001">
        <f t="shared" si="119"/>
        <v>2</v>
      </c>
      <c r="O1243" s="1001">
        <f t="shared" si="119"/>
        <v>7000</v>
      </c>
      <c r="P1243" s="1001">
        <f t="shared" si="119"/>
        <v>2</v>
      </c>
      <c r="Q1243" s="1001">
        <f t="shared" si="119"/>
        <v>7500</v>
      </c>
      <c r="R1243" s="1001">
        <f>E1243+F1243+H1243+J1243+L1243+N1243</f>
        <v>20</v>
      </c>
      <c r="S1243" s="1004"/>
      <c r="T1243" s="1004"/>
    </row>
    <row r="1244" spans="2:20" s="1003" customFormat="1" ht="102" x14ac:dyDescent="0.25">
      <c r="B1244" s="998" t="s">
        <v>80</v>
      </c>
      <c r="C1244" s="1000" t="s">
        <v>3247</v>
      </c>
      <c r="D1244" s="1000" t="s">
        <v>79</v>
      </c>
      <c r="E1244" s="1001"/>
      <c r="F1244" s="1001">
        <v>2</v>
      </c>
      <c r="G1244" s="1001">
        <v>3500</v>
      </c>
      <c r="H1244" s="1001">
        <v>2</v>
      </c>
      <c r="I1244" s="1001">
        <v>3500</v>
      </c>
      <c r="J1244" s="1001">
        <v>2</v>
      </c>
      <c r="K1244" s="1001">
        <v>5000</v>
      </c>
      <c r="L1244" s="1001">
        <v>2</v>
      </c>
      <c r="M1244" s="1001">
        <v>6500</v>
      </c>
      <c r="N1244" s="1001">
        <v>2</v>
      </c>
      <c r="O1244" s="1001">
        <v>7000</v>
      </c>
      <c r="P1244" s="1001">
        <v>2</v>
      </c>
      <c r="Q1244" s="1001">
        <v>7500</v>
      </c>
      <c r="R1244" s="1001"/>
      <c r="S1244" s="1004"/>
      <c r="T1244" s="1004"/>
    </row>
    <row r="1245" spans="2:20" s="1003" customFormat="1" ht="48" x14ac:dyDescent="0.25">
      <c r="B1245" s="1106" t="s">
        <v>3248</v>
      </c>
      <c r="C1245" s="1000" t="s">
        <v>3249</v>
      </c>
      <c r="D1245" s="1000" t="s">
        <v>79</v>
      </c>
      <c r="E1245" s="1001">
        <v>5</v>
      </c>
      <c r="F1245" s="1001">
        <v>1</v>
      </c>
      <c r="G1245" s="1001">
        <f>G1246</f>
        <v>4400</v>
      </c>
      <c r="H1245" s="1001">
        <f t="shared" ref="H1245:Q1245" si="120">H1246</f>
        <v>2</v>
      </c>
      <c r="I1245" s="1001">
        <f t="shared" si="120"/>
        <v>4950</v>
      </c>
      <c r="J1245" s="1001">
        <f t="shared" si="120"/>
        <v>2</v>
      </c>
      <c r="K1245" s="1001">
        <f t="shared" si="120"/>
        <v>6000</v>
      </c>
      <c r="L1245" s="1001">
        <f t="shared" si="120"/>
        <v>2</v>
      </c>
      <c r="M1245" s="1001">
        <f t="shared" si="120"/>
        <v>6500</v>
      </c>
      <c r="N1245" s="1001">
        <f t="shared" si="120"/>
        <v>2</v>
      </c>
      <c r="O1245" s="1001">
        <f t="shared" si="120"/>
        <v>7000</v>
      </c>
      <c r="P1245" s="1001">
        <f t="shared" si="120"/>
        <v>2</v>
      </c>
      <c r="Q1245" s="1001">
        <f t="shared" si="120"/>
        <v>7500</v>
      </c>
      <c r="R1245" s="1001">
        <f>E1245+F1245+H1245+J1245+L1245+N1245</f>
        <v>14</v>
      </c>
      <c r="S1245" s="1004"/>
      <c r="T1245" s="1004"/>
    </row>
    <row r="1246" spans="2:20" s="1003" customFormat="1" ht="63.75" x14ac:dyDescent="0.25">
      <c r="B1246" s="998" t="s">
        <v>1712</v>
      </c>
      <c r="C1246" s="1000" t="s">
        <v>3250</v>
      </c>
      <c r="D1246" s="1000"/>
      <c r="E1246" s="1001"/>
      <c r="F1246" s="1001">
        <v>1</v>
      </c>
      <c r="G1246" s="1001">
        <v>4400</v>
      </c>
      <c r="H1246" s="1001">
        <v>2</v>
      </c>
      <c r="I1246" s="1001">
        <v>4950</v>
      </c>
      <c r="J1246" s="1001">
        <v>2</v>
      </c>
      <c r="K1246" s="1001">
        <v>6000</v>
      </c>
      <c r="L1246" s="1001">
        <v>2</v>
      </c>
      <c r="M1246" s="1001">
        <v>6500</v>
      </c>
      <c r="N1246" s="1001">
        <v>2</v>
      </c>
      <c r="O1246" s="1001">
        <v>7000</v>
      </c>
      <c r="P1246" s="1001">
        <v>2</v>
      </c>
      <c r="Q1246" s="1001">
        <v>7500</v>
      </c>
      <c r="R1246" s="1001"/>
      <c r="S1246" s="1004"/>
      <c r="T1246" s="1004"/>
    </row>
    <row r="1247" spans="2:20" s="1003" customFormat="1" ht="63.75" customHeight="1" x14ac:dyDescent="0.25">
      <c r="B1247" s="1065" t="s">
        <v>3251</v>
      </c>
      <c r="C1247" s="1000" t="s">
        <v>3252</v>
      </c>
      <c r="D1247" s="1000" t="s">
        <v>79</v>
      </c>
      <c r="E1247" s="1001">
        <v>5</v>
      </c>
      <c r="F1247" s="1001">
        <v>1</v>
      </c>
      <c r="G1247" s="2114">
        <f>SUM(G1249:G1250)</f>
        <v>17500</v>
      </c>
      <c r="H1247" s="1001">
        <v>1</v>
      </c>
      <c r="I1247" s="2114">
        <f>SUM(I1249:I1250)</f>
        <v>17500</v>
      </c>
      <c r="J1247" s="1001">
        <v>1</v>
      </c>
      <c r="K1247" s="2114">
        <f>SUM(K1249:K1250)</f>
        <v>21000</v>
      </c>
      <c r="L1247" s="1001">
        <v>1</v>
      </c>
      <c r="M1247" s="2114">
        <f>SUM(M1249:M1250)</f>
        <v>26500</v>
      </c>
      <c r="N1247" s="1001">
        <v>1</v>
      </c>
      <c r="O1247" s="2114">
        <f>SUM(O1249:O1250)</f>
        <v>29500</v>
      </c>
      <c r="P1247" s="1001">
        <v>1</v>
      </c>
      <c r="Q1247" s="2114">
        <f>SUM(Q1249:Q1250)</f>
        <v>32500</v>
      </c>
      <c r="R1247" s="1001">
        <f>E1247+F1247+H1247+J1247+L1247+N1247</f>
        <v>10</v>
      </c>
      <c r="S1247" s="1004"/>
      <c r="T1247" s="1004"/>
    </row>
    <row r="1248" spans="2:20" s="1003" customFormat="1" ht="38.25" x14ac:dyDescent="0.25">
      <c r="B1248" s="1066"/>
      <c r="C1248" s="1000" t="s">
        <v>3253</v>
      </c>
      <c r="D1248" s="1000" t="s">
        <v>79</v>
      </c>
      <c r="E1248" s="1001">
        <v>5</v>
      </c>
      <c r="F1248" s="1001">
        <v>1</v>
      </c>
      <c r="G1248" s="2114"/>
      <c r="H1248" s="1001">
        <v>1</v>
      </c>
      <c r="I1248" s="2114"/>
      <c r="J1248" s="1001">
        <v>1</v>
      </c>
      <c r="K1248" s="2114"/>
      <c r="L1248" s="1001">
        <v>1</v>
      </c>
      <c r="M1248" s="2114"/>
      <c r="N1248" s="1001">
        <v>1</v>
      </c>
      <c r="O1248" s="2114"/>
      <c r="P1248" s="1001">
        <v>1</v>
      </c>
      <c r="Q1248" s="2114"/>
      <c r="R1248" s="1001">
        <f>E1248+F1248+H1248+J1248+L1248+N1248</f>
        <v>10</v>
      </c>
      <c r="S1248" s="1004"/>
      <c r="T1248" s="1004"/>
    </row>
    <row r="1249" spans="2:20" s="1003" customFormat="1" ht="38.25" x14ac:dyDescent="0.25">
      <c r="B1249" s="998" t="s">
        <v>3254</v>
      </c>
      <c r="C1249" s="1000" t="s">
        <v>3255</v>
      </c>
      <c r="D1249" s="1000" t="s">
        <v>103</v>
      </c>
      <c r="E1249" s="1001"/>
      <c r="F1249" s="1001">
        <v>2</v>
      </c>
      <c r="G1249" s="1001">
        <v>12000</v>
      </c>
      <c r="H1249" s="1001">
        <v>2</v>
      </c>
      <c r="I1249" s="1001">
        <v>12000</v>
      </c>
      <c r="J1249" s="1001">
        <v>2</v>
      </c>
      <c r="K1249" s="1001">
        <v>15000</v>
      </c>
      <c r="L1249" s="1001">
        <v>2</v>
      </c>
      <c r="M1249" s="1001">
        <v>20000</v>
      </c>
      <c r="N1249" s="1001">
        <v>2</v>
      </c>
      <c r="O1249" s="1001">
        <v>22500</v>
      </c>
      <c r="P1249" s="1001">
        <v>2</v>
      </c>
      <c r="Q1249" s="1001">
        <v>25000</v>
      </c>
      <c r="R1249" s="1001"/>
      <c r="S1249" s="1004"/>
      <c r="T1249" s="1004"/>
    </row>
    <row r="1250" spans="2:20" s="1003" customFormat="1" ht="51" x14ac:dyDescent="0.25">
      <c r="B1250" s="998" t="s">
        <v>3256</v>
      </c>
      <c r="C1250" s="1000" t="s">
        <v>3257</v>
      </c>
      <c r="D1250" s="1000" t="s">
        <v>103</v>
      </c>
      <c r="E1250" s="1001"/>
      <c r="F1250" s="1001">
        <v>11</v>
      </c>
      <c r="G1250" s="1001">
        <v>5500</v>
      </c>
      <c r="H1250" s="1001">
        <v>11</v>
      </c>
      <c r="I1250" s="1001">
        <v>5500</v>
      </c>
      <c r="J1250" s="1001">
        <v>11</v>
      </c>
      <c r="K1250" s="1001">
        <v>6000</v>
      </c>
      <c r="L1250" s="1001">
        <v>11</v>
      </c>
      <c r="M1250" s="1001">
        <v>6500</v>
      </c>
      <c r="N1250" s="1001">
        <v>11</v>
      </c>
      <c r="O1250" s="1001">
        <v>7000</v>
      </c>
      <c r="P1250" s="1001">
        <v>11</v>
      </c>
      <c r="Q1250" s="1001">
        <v>7500</v>
      </c>
      <c r="R1250" s="1001"/>
      <c r="S1250" s="1004"/>
      <c r="T1250" s="1004"/>
    </row>
    <row r="1251" spans="2:20" s="1003" customFormat="1" ht="51" x14ac:dyDescent="0.25">
      <c r="B1251" s="1106" t="s">
        <v>3420</v>
      </c>
      <c r="C1251" s="1000" t="s">
        <v>3386</v>
      </c>
      <c r="D1251" s="1000" t="s">
        <v>19</v>
      </c>
      <c r="E1251" s="1001">
        <v>100</v>
      </c>
      <c r="F1251" s="1001">
        <v>100</v>
      </c>
      <c r="G1251" s="1001">
        <f>G1252</f>
        <v>48000</v>
      </c>
      <c r="H1251" s="1001">
        <v>100</v>
      </c>
      <c r="I1251" s="1001">
        <f>I1252</f>
        <v>51000</v>
      </c>
      <c r="J1251" s="1001">
        <v>100</v>
      </c>
      <c r="K1251" s="1001">
        <f>K1252</f>
        <v>55000</v>
      </c>
      <c r="L1251" s="1001">
        <v>100</v>
      </c>
      <c r="M1251" s="1001">
        <f>M1252</f>
        <v>55000</v>
      </c>
      <c r="N1251" s="1001">
        <v>100</v>
      </c>
      <c r="O1251" s="1001">
        <f>O1252</f>
        <v>55000</v>
      </c>
      <c r="P1251" s="1001">
        <v>100</v>
      </c>
      <c r="Q1251" s="1001">
        <f>Q1252</f>
        <v>55000</v>
      </c>
      <c r="R1251" s="1001">
        <v>100</v>
      </c>
      <c r="S1251" s="1004"/>
      <c r="T1251" s="1004"/>
    </row>
    <row r="1252" spans="2:20" s="1003" customFormat="1" ht="25.5" x14ac:dyDescent="0.25">
      <c r="B1252" s="998" t="s">
        <v>3421</v>
      </c>
      <c r="C1252" s="1000" t="s">
        <v>3422</v>
      </c>
      <c r="D1252" s="1000" t="s">
        <v>40</v>
      </c>
      <c r="E1252" s="1001"/>
      <c r="F1252" s="1001">
        <v>12</v>
      </c>
      <c r="G1252" s="1001">
        <v>48000</v>
      </c>
      <c r="H1252" s="1001">
        <v>12</v>
      </c>
      <c r="I1252" s="1001">
        <v>51000</v>
      </c>
      <c r="J1252" s="1001">
        <v>12</v>
      </c>
      <c r="K1252" s="1001">
        <v>55000</v>
      </c>
      <c r="L1252" s="1001">
        <v>12</v>
      </c>
      <c r="M1252" s="1001">
        <v>55000</v>
      </c>
      <c r="N1252" s="1001">
        <v>12</v>
      </c>
      <c r="O1252" s="1001">
        <v>55000</v>
      </c>
      <c r="P1252" s="1001">
        <v>12</v>
      </c>
      <c r="Q1252" s="1001">
        <v>55000</v>
      </c>
      <c r="R1252" s="1001"/>
      <c r="S1252" s="1004"/>
      <c r="T1252" s="1004"/>
    </row>
    <row r="1253" spans="2:20" s="1003" customFormat="1" ht="84" x14ac:dyDescent="0.25">
      <c r="B1253" s="1106" t="s">
        <v>1743</v>
      </c>
      <c r="C1253" s="1000" t="s">
        <v>3265</v>
      </c>
      <c r="D1253" s="1000" t="s">
        <v>19</v>
      </c>
      <c r="E1253" s="1001">
        <v>100</v>
      </c>
      <c r="F1253" s="1001">
        <v>100</v>
      </c>
      <c r="G1253" s="1001">
        <f>SUM(G1254:G1255)</f>
        <v>30800</v>
      </c>
      <c r="H1253" s="1001">
        <v>100</v>
      </c>
      <c r="I1253" s="1001">
        <f>SUM(I1254:I1255)</f>
        <v>20900</v>
      </c>
      <c r="J1253" s="1001">
        <v>100</v>
      </c>
      <c r="K1253" s="1001">
        <f>SUM(K1254:K1255)</f>
        <v>26000</v>
      </c>
      <c r="L1253" s="1001">
        <v>100</v>
      </c>
      <c r="M1253" s="1001">
        <f>SUM(M1254:M1255)</f>
        <v>37000</v>
      </c>
      <c r="N1253" s="1001">
        <v>100</v>
      </c>
      <c r="O1253" s="1001">
        <f>SUM(O1254:O1255)</f>
        <v>37000</v>
      </c>
      <c r="P1253" s="1001">
        <v>100</v>
      </c>
      <c r="Q1253" s="1001">
        <f>SUM(Q1254:Q1255)</f>
        <v>38000</v>
      </c>
      <c r="R1253" s="1001">
        <v>100</v>
      </c>
      <c r="S1253" s="1004"/>
      <c r="T1253" s="1004"/>
    </row>
    <row r="1254" spans="2:20" s="1003" customFormat="1" ht="25.5" x14ac:dyDescent="0.25">
      <c r="B1254" s="998" t="s">
        <v>3266</v>
      </c>
      <c r="C1254" s="1000" t="s">
        <v>3267</v>
      </c>
      <c r="D1254" s="1000" t="s">
        <v>103</v>
      </c>
      <c r="E1254" s="1001"/>
      <c r="F1254" s="1001">
        <v>11</v>
      </c>
      <c r="G1254" s="1001">
        <v>25300</v>
      </c>
      <c r="H1254" s="1001">
        <v>11</v>
      </c>
      <c r="I1254" s="1001">
        <v>15400</v>
      </c>
      <c r="J1254" s="1001">
        <v>11</v>
      </c>
      <c r="K1254" s="1001">
        <v>20000</v>
      </c>
      <c r="L1254" s="1001">
        <v>11</v>
      </c>
      <c r="M1254" s="1001">
        <v>30000</v>
      </c>
      <c r="N1254" s="1001">
        <v>11</v>
      </c>
      <c r="O1254" s="1001">
        <v>30000</v>
      </c>
      <c r="P1254" s="1001">
        <v>11</v>
      </c>
      <c r="Q1254" s="1001">
        <v>30000</v>
      </c>
      <c r="R1254" s="1001"/>
      <c r="S1254" s="1004"/>
      <c r="T1254" s="1004"/>
    </row>
    <row r="1255" spans="2:20" s="1003" customFormat="1" ht="76.5" x14ac:dyDescent="0.25">
      <c r="B1255" s="998" t="s">
        <v>3629</v>
      </c>
      <c r="C1255" s="1000" t="s">
        <v>3273</v>
      </c>
      <c r="D1255" s="1000" t="s">
        <v>103</v>
      </c>
      <c r="E1255" s="1001"/>
      <c r="F1255" s="1001">
        <v>11</v>
      </c>
      <c r="G1255" s="1039">
        <v>5500</v>
      </c>
      <c r="H1255" s="1001">
        <v>11</v>
      </c>
      <c r="I1255" s="1001">
        <v>5500</v>
      </c>
      <c r="J1255" s="1001">
        <v>11</v>
      </c>
      <c r="K1255" s="1001">
        <v>6000</v>
      </c>
      <c r="L1255" s="1001">
        <v>11</v>
      </c>
      <c r="M1255" s="1001">
        <v>7000</v>
      </c>
      <c r="N1255" s="1001">
        <v>11</v>
      </c>
      <c r="O1255" s="1001">
        <v>7000</v>
      </c>
      <c r="P1255" s="1001">
        <v>11</v>
      </c>
      <c r="Q1255" s="1001">
        <v>8000</v>
      </c>
      <c r="R1255" s="1001"/>
      <c r="S1255" s="1004"/>
      <c r="T1255" s="1004"/>
    </row>
    <row r="1256" spans="2:20" s="1003" customFormat="1" ht="76.5" customHeight="1" x14ac:dyDescent="0.25">
      <c r="B1256" s="1063" t="s">
        <v>3425</v>
      </c>
      <c r="C1256" s="1000" t="s">
        <v>3274</v>
      </c>
      <c r="D1256" s="1000" t="s">
        <v>79</v>
      </c>
      <c r="E1256" s="1001">
        <v>1</v>
      </c>
      <c r="F1256" s="1001">
        <v>1</v>
      </c>
      <c r="G1256" s="1001">
        <f>G1257</f>
        <v>5305</v>
      </c>
      <c r="H1256" s="1001">
        <v>1</v>
      </c>
      <c r="I1256" s="1001">
        <f>I1257</f>
        <v>4000</v>
      </c>
      <c r="J1256" s="1001">
        <v>1</v>
      </c>
      <c r="K1256" s="1001">
        <f>K1257</f>
        <v>6000</v>
      </c>
      <c r="L1256" s="1001">
        <v>1</v>
      </c>
      <c r="M1256" s="1001">
        <f>M1257</f>
        <v>6000</v>
      </c>
      <c r="N1256" s="1001">
        <v>1</v>
      </c>
      <c r="O1256" s="1001">
        <f>O1257</f>
        <v>7000</v>
      </c>
      <c r="P1256" s="1001">
        <v>1</v>
      </c>
      <c r="Q1256" s="1001">
        <f>Q1257</f>
        <v>8000</v>
      </c>
      <c r="R1256" s="1001">
        <f>E1256+F1256+H1256+J1256+L1256+N1256</f>
        <v>6</v>
      </c>
      <c r="S1256" s="1004"/>
      <c r="T1256" s="1004"/>
    </row>
    <row r="1257" spans="2:20" s="1003" customFormat="1" ht="25.5" x14ac:dyDescent="0.25">
      <c r="B1257" s="1008" t="s">
        <v>3277</v>
      </c>
      <c r="C1257" s="1000" t="s">
        <v>3278</v>
      </c>
      <c r="D1257" s="1000" t="s">
        <v>103</v>
      </c>
      <c r="E1257" s="1001"/>
      <c r="F1257" s="1001">
        <v>12</v>
      </c>
      <c r="G1257" s="1001">
        <v>5305</v>
      </c>
      <c r="H1257" s="1001">
        <v>12</v>
      </c>
      <c r="I1257" s="1001">
        <v>4000</v>
      </c>
      <c r="J1257" s="1001">
        <v>12</v>
      </c>
      <c r="K1257" s="1001">
        <v>6000</v>
      </c>
      <c r="L1257" s="1001">
        <v>12</v>
      </c>
      <c r="M1257" s="1001">
        <v>6000</v>
      </c>
      <c r="N1257" s="1001">
        <v>12</v>
      </c>
      <c r="O1257" s="1001">
        <v>7000</v>
      </c>
      <c r="P1257" s="1001">
        <v>12</v>
      </c>
      <c r="Q1257" s="1001">
        <v>8000</v>
      </c>
      <c r="R1257" s="1001"/>
      <c r="S1257" s="1004"/>
      <c r="T1257" s="1004"/>
    </row>
    <row r="1258" spans="2:20" s="1003" customFormat="1" ht="63.75" x14ac:dyDescent="0.25">
      <c r="B1258" s="1063" t="s">
        <v>3280</v>
      </c>
      <c r="C1258" s="1000" t="s">
        <v>3279</v>
      </c>
      <c r="D1258" s="1000" t="s">
        <v>327</v>
      </c>
      <c r="E1258" s="1001">
        <v>16</v>
      </c>
      <c r="F1258" s="1001">
        <v>20</v>
      </c>
      <c r="G1258" s="1001">
        <f>SUM(G1259:G1260)</f>
        <v>9800</v>
      </c>
      <c r="H1258" s="1001">
        <v>24</v>
      </c>
      <c r="I1258" s="1001">
        <f>SUM(I1259:I1260)</f>
        <v>4500</v>
      </c>
      <c r="J1258" s="1001">
        <v>28</v>
      </c>
      <c r="K1258" s="1001">
        <f>SUM(K1259:K1260)</f>
        <v>12000</v>
      </c>
      <c r="L1258" s="1001">
        <v>32</v>
      </c>
      <c r="M1258" s="1001">
        <f>SUM(M1259:M1260)</f>
        <v>12000</v>
      </c>
      <c r="N1258" s="1001">
        <v>36</v>
      </c>
      <c r="O1258" s="1001">
        <f>SUM(O1259:O1260)</f>
        <v>14000</v>
      </c>
      <c r="P1258" s="1001">
        <v>40</v>
      </c>
      <c r="Q1258" s="1001">
        <f>SUM(Q1259:Q1260)</f>
        <v>16000</v>
      </c>
      <c r="R1258" s="1001">
        <f>N1258</f>
        <v>36</v>
      </c>
      <c r="S1258" s="1004"/>
      <c r="T1258" s="1004"/>
    </row>
    <row r="1259" spans="2:20" s="1003" customFormat="1" ht="76.5" x14ac:dyDescent="0.25">
      <c r="B1259" s="1008" t="s">
        <v>3630</v>
      </c>
      <c r="C1259" s="1000" t="s">
        <v>3281</v>
      </c>
      <c r="D1259" s="1000" t="s">
        <v>327</v>
      </c>
      <c r="E1259" s="1001"/>
      <c r="F1259" s="1001">
        <v>10</v>
      </c>
      <c r="G1259" s="1001">
        <v>5800</v>
      </c>
      <c r="H1259" s="1001">
        <v>12</v>
      </c>
      <c r="I1259" s="1001">
        <v>0</v>
      </c>
      <c r="J1259" s="1001">
        <v>14</v>
      </c>
      <c r="K1259" s="1001">
        <v>6000</v>
      </c>
      <c r="L1259" s="1001">
        <v>16</v>
      </c>
      <c r="M1259" s="1001">
        <v>6000</v>
      </c>
      <c r="N1259" s="1001">
        <v>18</v>
      </c>
      <c r="O1259" s="1001">
        <v>7000</v>
      </c>
      <c r="P1259" s="1001">
        <v>20</v>
      </c>
      <c r="Q1259" s="1001">
        <v>8000</v>
      </c>
      <c r="R1259" s="1001"/>
      <c r="S1259" s="1004"/>
      <c r="T1259" s="1004"/>
    </row>
    <row r="1260" spans="2:20" s="1003" customFormat="1" ht="38.25" x14ac:dyDescent="0.25">
      <c r="B1260" s="1008" t="s">
        <v>3282</v>
      </c>
      <c r="C1260" s="1000" t="s">
        <v>3283</v>
      </c>
      <c r="D1260" s="1000" t="s">
        <v>327</v>
      </c>
      <c r="E1260" s="1001"/>
      <c r="F1260" s="1001">
        <v>10</v>
      </c>
      <c r="G1260" s="1001">
        <v>4000</v>
      </c>
      <c r="H1260" s="1001">
        <v>12</v>
      </c>
      <c r="I1260" s="1001">
        <v>4500</v>
      </c>
      <c r="J1260" s="1001">
        <v>14</v>
      </c>
      <c r="K1260" s="1001">
        <v>6000</v>
      </c>
      <c r="L1260" s="1001">
        <v>16</v>
      </c>
      <c r="M1260" s="1001">
        <v>6000</v>
      </c>
      <c r="N1260" s="1001">
        <v>18</v>
      </c>
      <c r="O1260" s="1001">
        <v>7000</v>
      </c>
      <c r="P1260" s="1001">
        <v>20</v>
      </c>
      <c r="Q1260" s="1001">
        <v>8000</v>
      </c>
      <c r="R1260" s="1001"/>
      <c r="S1260" s="1004"/>
      <c r="T1260" s="1004"/>
    </row>
    <row r="1261" spans="2:20" s="1003" customFormat="1" ht="60" x14ac:dyDescent="0.25">
      <c r="B1261" s="1106" t="s">
        <v>3284</v>
      </c>
      <c r="C1261" s="1009" t="s">
        <v>3285</v>
      </c>
      <c r="D1261" s="1009" t="s">
        <v>364</v>
      </c>
      <c r="E1261" s="1001">
        <v>100</v>
      </c>
      <c r="F1261" s="1001">
        <v>90</v>
      </c>
      <c r="G1261" s="1001">
        <f>G1262</f>
        <v>5800</v>
      </c>
      <c r="H1261" s="1001">
        <v>80</v>
      </c>
      <c r="I1261" s="1001">
        <f>I1262</f>
        <v>6000</v>
      </c>
      <c r="J1261" s="1001">
        <v>70</v>
      </c>
      <c r="K1261" s="1001">
        <f>K1262</f>
        <v>7500</v>
      </c>
      <c r="L1261" s="1001">
        <v>60</v>
      </c>
      <c r="M1261" s="1001">
        <f>M1262</f>
        <v>8000</v>
      </c>
      <c r="N1261" s="1001">
        <v>50</v>
      </c>
      <c r="O1261" s="1001">
        <f>O1262</f>
        <v>9000</v>
      </c>
      <c r="P1261" s="1001">
        <v>50</v>
      </c>
      <c r="Q1261" s="1001">
        <f>Q1262</f>
        <v>10000</v>
      </c>
      <c r="R1261" s="1001">
        <f>N1261</f>
        <v>50</v>
      </c>
      <c r="S1261" s="1004"/>
      <c r="T1261" s="1004"/>
    </row>
    <row r="1262" spans="2:20" s="1003" customFormat="1" ht="63.75" x14ac:dyDescent="0.25">
      <c r="B1262" s="998" t="s">
        <v>3286</v>
      </c>
      <c r="C1262" s="1009" t="s">
        <v>3287</v>
      </c>
      <c r="D1262" s="1009" t="s">
        <v>100</v>
      </c>
      <c r="E1262" s="1001"/>
      <c r="F1262" s="1001">
        <v>20</v>
      </c>
      <c r="G1262" s="1001">
        <v>5800</v>
      </c>
      <c r="H1262" s="1001">
        <v>20</v>
      </c>
      <c r="I1262" s="1001">
        <v>6000</v>
      </c>
      <c r="J1262" s="1001">
        <v>20</v>
      </c>
      <c r="K1262" s="1001">
        <v>7500</v>
      </c>
      <c r="L1262" s="1001">
        <v>20</v>
      </c>
      <c r="M1262" s="1001">
        <v>8000</v>
      </c>
      <c r="N1262" s="1001">
        <v>20</v>
      </c>
      <c r="O1262" s="1001">
        <v>9000</v>
      </c>
      <c r="P1262" s="1001">
        <v>20</v>
      </c>
      <c r="Q1262" s="1001">
        <v>10000</v>
      </c>
      <c r="R1262" s="1001"/>
      <c r="S1262" s="1004"/>
      <c r="T1262" s="1004"/>
    </row>
    <row r="1263" spans="2:20" s="1003" customFormat="1" ht="48" x14ac:dyDescent="0.25">
      <c r="B1263" s="1106" t="s">
        <v>3289</v>
      </c>
      <c r="C1263" s="1009" t="s">
        <v>3288</v>
      </c>
      <c r="D1263" s="1009" t="s">
        <v>100</v>
      </c>
      <c r="E1263" s="1001">
        <v>30</v>
      </c>
      <c r="F1263" s="1001">
        <f>F1264</f>
        <v>30</v>
      </c>
      <c r="G1263" s="1001">
        <f t="shared" ref="G1263:Q1263" si="121">G1264</f>
        <v>11500</v>
      </c>
      <c r="H1263" s="1001">
        <f t="shared" si="121"/>
        <v>30</v>
      </c>
      <c r="I1263" s="1001">
        <f t="shared" si="121"/>
        <v>11500</v>
      </c>
      <c r="J1263" s="1001">
        <f t="shared" si="121"/>
        <v>30</v>
      </c>
      <c r="K1263" s="1001">
        <f t="shared" si="121"/>
        <v>12000</v>
      </c>
      <c r="L1263" s="1001">
        <f t="shared" si="121"/>
        <v>30</v>
      </c>
      <c r="M1263" s="1001">
        <f t="shared" si="121"/>
        <v>13000</v>
      </c>
      <c r="N1263" s="1001">
        <f t="shared" si="121"/>
        <v>30</v>
      </c>
      <c r="O1263" s="1001">
        <f t="shared" si="121"/>
        <v>14000</v>
      </c>
      <c r="P1263" s="1001">
        <f t="shared" si="121"/>
        <v>30</v>
      </c>
      <c r="Q1263" s="1001">
        <f t="shared" si="121"/>
        <v>15000</v>
      </c>
      <c r="R1263" s="1001">
        <f>F1263+H1263+J1263+L1263+N1263</f>
        <v>150</v>
      </c>
      <c r="S1263" s="1004"/>
      <c r="T1263" s="1004"/>
    </row>
    <row r="1264" spans="2:20" s="1003" customFormat="1" ht="76.5" x14ac:dyDescent="0.25">
      <c r="B1264" s="998" t="s">
        <v>894</v>
      </c>
      <c r="C1264" s="1009" t="s">
        <v>3290</v>
      </c>
      <c r="D1264" s="1009" t="s">
        <v>100</v>
      </c>
      <c r="E1264" s="1001"/>
      <c r="F1264" s="1001">
        <v>30</v>
      </c>
      <c r="G1264" s="1001">
        <v>11500</v>
      </c>
      <c r="H1264" s="1001">
        <v>30</v>
      </c>
      <c r="I1264" s="1001">
        <v>11500</v>
      </c>
      <c r="J1264" s="1001">
        <v>30</v>
      </c>
      <c r="K1264" s="1001">
        <v>12000</v>
      </c>
      <c r="L1264" s="1001">
        <v>30</v>
      </c>
      <c r="M1264" s="1001">
        <v>13000</v>
      </c>
      <c r="N1264" s="1001">
        <v>30</v>
      </c>
      <c r="O1264" s="1001">
        <v>14000</v>
      </c>
      <c r="P1264" s="1001">
        <v>30</v>
      </c>
      <c r="Q1264" s="1001">
        <v>15000</v>
      </c>
      <c r="R1264" s="1001"/>
      <c r="S1264" s="1004"/>
      <c r="T1264" s="1004"/>
    </row>
    <row r="1265" spans="2:20" s="1003" customFormat="1" ht="60" x14ac:dyDescent="0.25">
      <c r="B1265" s="1063" t="s">
        <v>3292</v>
      </c>
      <c r="C1265" s="1000" t="s">
        <v>3291</v>
      </c>
      <c r="D1265" s="1000" t="s">
        <v>19</v>
      </c>
      <c r="E1265" s="1001">
        <v>75</v>
      </c>
      <c r="F1265" s="1001">
        <v>77</v>
      </c>
      <c r="G1265" s="1001">
        <f>G1266</f>
        <v>3000</v>
      </c>
      <c r="H1265" s="1001"/>
      <c r="I1265" s="1001">
        <f>I1266</f>
        <v>0</v>
      </c>
      <c r="J1265" s="1001"/>
      <c r="K1265" s="1001">
        <f>K1266</f>
        <v>2000</v>
      </c>
      <c r="L1265" s="1001">
        <v>80</v>
      </c>
      <c r="M1265" s="1001">
        <f>M1266</f>
        <v>0</v>
      </c>
      <c r="N1265" s="1001"/>
      <c r="O1265" s="1001">
        <f>O1266</f>
        <v>25000</v>
      </c>
      <c r="P1265" s="1001"/>
      <c r="Q1265" s="1001">
        <f>Q1266</f>
        <v>0</v>
      </c>
      <c r="R1265" s="1001">
        <f>L1265</f>
        <v>80</v>
      </c>
      <c r="S1265" s="1004"/>
      <c r="T1265" s="1004"/>
    </row>
    <row r="1266" spans="2:20" s="1003" customFormat="1" ht="38.25" x14ac:dyDescent="0.25">
      <c r="B1266" s="1008" t="s">
        <v>3293</v>
      </c>
      <c r="C1266" s="1000" t="s">
        <v>3294</v>
      </c>
      <c r="D1266" s="1000" t="s">
        <v>103</v>
      </c>
      <c r="E1266" s="1001"/>
      <c r="F1266" s="1001">
        <v>11</v>
      </c>
      <c r="G1266" s="1001">
        <v>3000</v>
      </c>
      <c r="H1266" s="1001"/>
      <c r="I1266" s="1001">
        <v>0</v>
      </c>
      <c r="J1266" s="1001"/>
      <c r="K1266" s="1001">
        <v>2000</v>
      </c>
      <c r="L1266" s="1001">
        <v>11</v>
      </c>
      <c r="M1266" s="1001">
        <v>0</v>
      </c>
      <c r="N1266" s="1001"/>
      <c r="O1266" s="1001">
        <v>25000</v>
      </c>
      <c r="P1266" s="1001"/>
      <c r="Q1266" s="1001"/>
      <c r="R1266" s="1001"/>
      <c r="S1266" s="1004"/>
      <c r="T1266" s="1004"/>
    </row>
    <row r="1267" spans="2:20" s="1003" customFormat="1" ht="60" x14ac:dyDescent="0.25">
      <c r="B1267" s="1063" t="s">
        <v>3296</v>
      </c>
      <c r="C1267" s="1000" t="s">
        <v>3295</v>
      </c>
      <c r="D1267" s="1000" t="s">
        <v>327</v>
      </c>
      <c r="E1267" s="1001">
        <v>11</v>
      </c>
      <c r="F1267" s="1001">
        <f>F1268</f>
        <v>11</v>
      </c>
      <c r="G1267" s="1001">
        <f>SUM(G1268:G1269)</f>
        <v>4500</v>
      </c>
      <c r="H1267" s="1001">
        <f t="shared" ref="H1267:P1267" si="122">H1268</f>
        <v>11</v>
      </c>
      <c r="I1267" s="1001">
        <f>SUM(I1268:I1269)</f>
        <v>9500</v>
      </c>
      <c r="J1267" s="1001">
        <f t="shared" si="122"/>
        <v>11</v>
      </c>
      <c r="K1267" s="1001">
        <f>SUM(K1268:K1269)</f>
        <v>12000</v>
      </c>
      <c r="L1267" s="1001">
        <f t="shared" si="122"/>
        <v>11</v>
      </c>
      <c r="M1267" s="1001">
        <f>SUM(M1268:M1269)</f>
        <v>14500</v>
      </c>
      <c r="N1267" s="1001">
        <f t="shared" si="122"/>
        <v>11</v>
      </c>
      <c r="O1267" s="1001">
        <f>SUM(O1268:O1269)</f>
        <v>16000</v>
      </c>
      <c r="P1267" s="1001">
        <f t="shared" si="122"/>
        <v>11</v>
      </c>
      <c r="Q1267" s="1001">
        <f>SUM(Q1268:Q1269)</f>
        <v>16000</v>
      </c>
      <c r="R1267" s="1001">
        <f>N1267</f>
        <v>11</v>
      </c>
      <c r="S1267" s="1004"/>
      <c r="T1267" s="1004"/>
    </row>
    <row r="1268" spans="2:20" s="1003" customFormat="1" x14ac:dyDescent="0.25">
      <c r="B1268" s="1008" t="s">
        <v>383</v>
      </c>
      <c r="C1268" s="1000" t="s">
        <v>3297</v>
      </c>
      <c r="D1268" s="1000"/>
      <c r="E1268" s="1001"/>
      <c r="F1268" s="1001">
        <v>11</v>
      </c>
      <c r="G1268" s="1001">
        <v>4500</v>
      </c>
      <c r="H1268" s="1001">
        <v>11</v>
      </c>
      <c r="I1268" s="1001">
        <v>3500</v>
      </c>
      <c r="J1268" s="1001">
        <v>11</v>
      </c>
      <c r="K1268" s="1001">
        <v>6000</v>
      </c>
      <c r="L1268" s="1001">
        <v>11</v>
      </c>
      <c r="M1268" s="1001">
        <v>7000</v>
      </c>
      <c r="N1268" s="1001">
        <v>11</v>
      </c>
      <c r="O1268" s="1001">
        <v>8000</v>
      </c>
      <c r="P1268" s="1001">
        <v>11</v>
      </c>
      <c r="Q1268" s="1001">
        <v>8000</v>
      </c>
      <c r="R1268" s="1001"/>
      <c r="S1268" s="1004"/>
      <c r="T1268" s="1004"/>
    </row>
    <row r="1269" spans="2:20" s="1003" customFormat="1" ht="114.75" x14ac:dyDescent="0.25">
      <c r="B1269" s="1008" t="s">
        <v>3631</v>
      </c>
      <c r="C1269" s="1000" t="s">
        <v>3632</v>
      </c>
      <c r="D1269" s="1000"/>
      <c r="E1269" s="1001"/>
      <c r="F1269" s="1001"/>
      <c r="G1269" s="1001">
        <v>0</v>
      </c>
      <c r="H1269" s="1001"/>
      <c r="I1269" s="1001">
        <v>6000</v>
      </c>
      <c r="J1269" s="1001"/>
      <c r="K1269" s="1001">
        <v>6000</v>
      </c>
      <c r="L1269" s="1001"/>
      <c r="M1269" s="1001">
        <v>7500</v>
      </c>
      <c r="N1269" s="1001"/>
      <c r="O1269" s="1001">
        <v>8000</v>
      </c>
      <c r="P1269" s="1001"/>
      <c r="Q1269" s="1001">
        <v>8000</v>
      </c>
      <c r="R1269" s="1001"/>
      <c r="S1269" s="1004"/>
      <c r="T1269" s="1004"/>
    </row>
    <row r="1270" spans="2:20" s="1032" customFormat="1" x14ac:dyDescent="0.25">
      <c r="B1270" s="1027" t="s">
        <v>2651</v>
      </c>
      <c r="C1270" s="1033"/>
      <c r="D1270" s="1033"/>
      <c r="E1270" s="1033"/>
      <c r="F1270" s="1033"/>
      <c r="G1270" s="1035">
        <f>G1267+G1265+G1263+G1261+G1258+G1256+G1253+G1251+G1247+G1245+G1243+G1235+G1221</f>
        <v>282377</v>
      </c>
      <c r="H1270" s="1033"/>
      <c r="I1270" s="1035">
        <f>I1267+I1265+I1263+I1261+I1258+I1256+I1253+I1251+I1247+I1245+I1243+I1235+I1221</f>
        <v>275413</v>
      </c>
      <c r="J1270" s="1033"/>
      <c r="K1270" s="1035">
        <f>K1267+K1265+K1263+K1261+K1258+K1256+K1253+K1251+K1247+K1245+K1243+K1235+K1221</f>
        <v>347000</v>
      </c>
      <c r="L1270" s="1033"/>
      <c r="M1270" s="1035">
        <f>M1267+M1265+M1263+M1261+M1258+M1256+M1253+M1251+M1247+M1245+M1243+M1235+M1221</f>
        <v>392000</v>
      </c>
      <c r="N1270" s="1033"/>
      <c r="O1270" s="1035">
        <f>O1267+O1265+O1263+O1261+O1258+O1256+O1253+O1251+O1247+O1245+O1243+O1235+O1221</f>
        <v>429500</v>
      </c>
      <c r="P1270" s="1033"/>
      <c r="Q1270" s="1035">
        <f>Q1267+Q1265+Q1263+Q1261+Q1258+Q1256+Q1253+Q1251+Q1247+Q1245+Q1243+Q1235+Q1221</f>
        <v>424500</v>
      </c>
      <c r="R1270" s="1033"/>
      <c r="S1270" s="1036"/>
      <c r="T1270" s="1036"/>
    </row>
    <row r="1271" spans="2:20" s="1003" customFormat="1" x14ac:dyDescent="0.25">
      <c r="B1271" s="1005"/>
      <c r="C1271" s="1100"/>
      <c r="D1271" s="1000"/>
      <c r="E1271" s="1001"/>
      <c r="F1271" s="1001"/>
      <c r="G1271" s="1001"/>
      <c r="H1271" s="1001"/>
      <c r="I1271" s="1001"/>
      <c r="J1271" s="1001"/>
      <c r="K1271" s="1001"/>
      <c r="L1271" s="1001"/>
      <c r="M1271" s="1001"/>
      <c r="N1271" s="1001"/>
      <c r="O1271" s="1001"/>
      <c r="P1271" s="1001"/>
      <c r="Q1271" s="1001"/>
      <c r="R1271" s="1001"/>
      <c r="S1271" s="1004"/>
      <c r="T1271" s="1004"/>
    </row>
    <row r="1272" spans="2:20" s="1003" customFormat="1" x14ac:dyDescent="0.25">
      <c r="B1272" s="1167" t="s">
        <v>3633</v>
      </c>
      <c r="C1272" s="1100"/>
      <c r="D1272" s="1000"/>
      <c r="E1272" s="1001"/>
      <c r="F1272" s="1001"/>
      <c r="G1272" s="1001"/>
      <c r="H1272" s="1001"/>
      <c r="I1272" s="1001"/>
      <c r="J1272" s="1001"/>
      <c r="K1272" s="1001"/>
      <c r="L1272" s="1001"/>
      <c r="M1272" s="1001"/>
      <c r="N1272" s="1001"/>
      <c r="O1272" s="1001"/>
      <c r="P1272" s="1001"/>
      <c r="Q1272" s="1001"/>
      <c r="R1272" s="1001"/>
      <c r="S1272" s="1004"/>
      <c r="T1272" s="1004"/>
    </row>
    <row r="1273" spans="2:20" s="1003" customFormat="1" ht="51" customHeight="1" x14ac:dyDescent="0.25">
      <c r="B1273" s="998"/>
      <c r="C1273" s="999" t="s">
        <v>3228</v>
      </c>
      <c r="D1273" s="1000" t="s">
        <v>19</v>
      </c>
      <c r="E1273" s="1001">
        <v>90</v>
      </c>
      <c r="F1273" s="1001">
        <v>93</v>
      </c>
      <c r="G1273" s="1001"/>
      <c r="H1273" s="1001">
        <v>94</v>
      </c>
      <c r="I1273" s="1001"/>
      <c r="J1273" s="1001">
        <v>95</v>
      </c>
      <c r="K1273" s="1001"/>
      <c r="L1273" s="1001">
        <v>96</v>
      </c>
      <c r="M1273" s="1001"/>
      <c r="N1273" s="1001">
        <v>97</v>
      </c>
      <c r="O1273" s="1001"/>
      <c r="P1273" s="1001">
        <v>98</v>
      </c>
      <c r="Q1273" s="1001"/>
      <c r="R1273" s="1001">
        <v>97</v>
      </c>
      <c r="S1273" s="1002"/>
      <c r="T1273" s="1002"/>
    </row>
    <row r="1274" spans="2:20" s="1003" customFormat="1" ht="63.75" x14ac:dyDescent="0.25">
      <c r="B1274" s="1106" t="s">
        <v>3229</v>
      </c>
      <c r="C1274" s="1000" t="s">
        <v>1488</v>
      </c>
      <c r="D1274" s="1000" t="s">
        <v>19</v>
      </c>
      <c r="E1274" s="1001">
        <v>100</v>
      </c>
      <c r="F1274" s="1001">
        <v>100</v>
      </c>
      <c r="G1274" s="1001">
        <f>SUM(G1275:G1287)</f>
        <v>102071</v>
      </c>
      <c r="H1274" s="1001">
        <v>100</v>
      </c>
      <c r="I1274" s="1001">
        <f>SUM(I1275:I1287)</f>
        <v>118250</v>
      </c>
      <c r="J1274" s="1001">
        <v>100</v>
      </c>
      <c r="K1274" s="1001">
        <f>SUM(K1275:K1287)</f>
        <v>121350</v>
      </c>
      <c r="L1274" s="1001">
        <v>100</v>
      </c>
      <c r="M1274" s="1001">
        <f>SUM(M1275:M1287)</f>
        <v>124350</v>
      </c>
      <c r="N1274" s="1001">
        <v>100</v>
      </c>
      <c r="O1274" s="1001">
        <f>SUM(O1275:O1287)</f>
        <v>127350</v>
      </c>
      <c r="P1274" s="1001">
        <v>100</v>
      </c>
      <c r="Q1274" s="1001">
        <f>SUM(Q1275:Q1287)</f>
        <v>132500</v>
      </c>
      <c r="R1274" s="1001">
        <v>100</v>
      </c>
      <c r="S1274" s="1004"/>
      <c r="T1274" s="1004"/>
    </row>
    <row r="1275" spans="2:20" s="1003" customFormat="1" ht="25.5" x14ac:dyDescent="0.25">
      <c r="B1275" s="998" t="s">
        <v>124</v>
      </c>
      <c r="C1275" s="1100" t="s">
        <v>3230</v>
      </c>
      <c r="D1275" s="1000" t="s">
        <v>40</v>
      </c>
      <c r="E1275" s="1001"/>
      <c r="F1275" s="1001">
        <v>12</v>
      </c>
      <c r="G1275" s="1001">
        <v>2100</v>
      </c>
      <c r="H1275" s="1001">
        <v>12</v>
      </c>
      <c r="I1275" s="1001">
        <v>1350</v>
      </c>
      <c r="J1275" s="1001">
        <v>12</v>
      </c>
      <c r="K1275" s="1001">
        <v>1350</v>
      </c>
      <c r="L1275" s="1001">
        <v>12</v>
      </c>
      <c r="M1275" s="1001">
        <v>1350</v>
      </c>
      <c r="N1275" s="1001">
        <v>12</v>
      </c>
      <c r="O1275" s="1001">
        <v>1350</v>
      </c>
      <c r="P1275" s="1001">
        <v>12</v>
      </c>
      <c r="Q1275" s="1001">
        <v>3500</v>
      </c>
      <c r="R1275" s="1001"/>
      <c r="S1275" s="1004"/>
      <c r="T1275" s="1004"/>
    </row>
    <row r="1276" spans="2:20" s="1003" customFormat="1" ht="51" x14ac:dyDescent="0.25">
      <c r="B1276" s="1005" t="s">
        <v>126</v>
      </c>
      <c r="C1276" s="1100" t="s">
        <v>2518</v>
      </c>
      <c r="D1276" s="1000" t="s">
        <v>40</v>
      </c>
      <c r="E1276" s="1001"/>
      <c r="F1276" s="1001">
        <v>12</v>
      </c>
      <c r="G1276" s="1001">
        <v>13800</v>
      </c>
      <c r="H1276" s="1001">
        <v>12</v>
      </c>
      <c r="I1276" s="1001">
        <v>13800</v>
      </c>
      <c r="J1276" s="1001">
        <v>12</v>
      </c>
      <c r="K1276" s="1001">
        <v>14000</v>
      </c>
      <c r="L1276" s="1001">
        <v>12</v>
      </c>
      <c r="M1276" s="1001">
        <v>14500</v>
      </c>
      <c r="N1276" s="1001">
        <v>12</v>
      </c>
      <c r="O1276" s="1001">
        <v>14500</v>
      </c>
      <c r="P1276" s="1001">
        <v>12</v>
      </c>
      <c r="Q1276" s="1001">
        <v>15000</v>
      </c>
      <c r="R1276" s="1001"/>
      <c r="S1276" s="1004"/>
      <c r="T1276" s="1004"/>
    </row>
    <row r="1277" spans="2:20" s="1003" customFormat="1" ht="76.5" x14ac:dyDescent="0.25">
      <c r="B1277" s="1005" t="s">
        <v>3231</v>
      </c>
      <c r="C1277" s="1100" t="s">
        <v>2519</v>
      </c>
      <c r="D1277" s="1000" t="s">
        <v>40</v>
      </c>
      <c r="E1277" s="1001"/>
      <c r="F1277" s="1001">
        <v>12</v>
      </c>
      <c r="G1277" s="1001">
        <v>20000</v>
      </c>
      <c r="H1277" s="1001">
        <v>12</v>
      </c>
      <c r="I1277" s="1001">
        <v>23000</v>
      </c>
      <c r="J1277" s="1001">
        <v>12</v>
      </c>
      <c r="K1277" s="1001">
        <v>23000</v>
      </c>
      <c r="L1277" s="1001">
        <v>12</v>
      </c>
      <c r="M1277" s="1001">
        <v>23000</v>
      </c>
      <c r="N1277" s="1001">
        <v>12</v>
      </c>
      <c r="O1277" s="1001">
        <v>23000</v>
      </c>
      <c r="P1277" s="1001">
        <v>12</v>
      </c>
      <c r="Q1277" s="1001">
        <v>23000</v>
      </c>
      <c r="R1277" s="1001"/>
      <c r="S1277" s="1004"/>
      <c r="T1277" s="1004"/>
    </row>
    <row r="1278" spans="2:20" s="1003" customFormat="1" ht="38.25" x14ac:dyDescent="0.25">
      <c r="B1278" s="1005" t="s">
        <v>45</v>
      </c>
      <c r="C1278" s="1100" t="s">
        <v>2520</v>
      </c>
      <c r="D1278" s="1000" t="s">
        <v>40</v>
      </c>
      <c r="E1278" s="1001"/>
      <c r="F1278" s="1001">
        <v>12</v>
      </c>
      <c r="G1278" s="1001">
        <v>16000</v>
      </c>
      <c r="H1278" s="1001">
        <v>12</v>
      </c>
      <c r="I1278" s="1001">
        <v>24000</v>
      </c>
      <c r="J1278" s="1001">
        <v>12</v>
      </c>
      <c r="K1278" s="1001">
        <v>24000</v>
      </c>
      <c r="L1278" s="1001">
        <v>12</v>
      </c>
      <c r="M1278" s="1001">
        <v>24000</v>
      </c>
      <c r="N1278" s="1001">
        <v>12</v>
      </c>
      <c r="O1278" s="1001">
        <v>24000</v>
      </c>
      <c r="P1278" s="1001">
        <v>12</v>
      </c>
      <c r="Q1278" s="1001">
        <v>24000</v>
      </c>
      <c r="R1278" s="1001"/>
      <c r="S1278" s="1004"/>
      <c r="T1278" s="1004"/>
    </row>
    <row r="1279" spans="2:20" s="1003" customFormat="1" ht="38.25" x14ac:dyDescent="0.25">
      <c r="B1279" s="1005" t="s">
        <v>47</v>
      </c>
      <c r="C1279" s="1100" t="s">
        <v>2521</v>
      </c>
      <c r="D1279" s="1000" t="s">
        <v>40</v>
      </c>
      <c r="E1279" s="1001"/>
      <c r="F1279" s="1001">
        <v>12</v>
      </c>
      <c r="G1279" s="1001">
        <v>2500</v>
      </c>
      <c r="H1279" s="1001">
        <v>12</v>
      </c>
      <c r="I1279" s="1001">
        <v>2500</v>
      </c>
      <c r="J1279" s="1001">
        <v>12</v>
      </c>
      <c r="K1279" s="1001">
        <v>3000</v>
      </c>
      <c r="L1279" s="1001">
        <v>12</v>
      </c>
      <c r="M1279" s="1001">
        <v>3000</v>
      </c>
      <c r="N1279" s="1001">
        <v>12</v>
      </c>
      <c r="O1279" s="1001">
        <v>3500</v>
      </c>
      <c r="P1279" s="1001">
        <v>12</v>
      </c>
      <c r="Q1279" s="1001">
        <v>3500</v>
      </c>
      <c r="R1279" s="1001"/>
      <c r="S1279" s="1004"/>
      <c r="T1279" s="1004"/>
    </row>
    <row r="1280" spans="2:20" s="1003" customFormat="1" ht="51" x14ac:dyDescent="0.25">
      <c r="B1280" s="1005" t="s">
        <v>923</v>
      </c>
      <c r="C1280" s="1100" t="s">
        <v>2522</v>
      </c>
      <c r="D1280" s="1000" t="s">
        <v>40</v>
      </c>
      <c r="E1280" s="1001"/>
      <c r="F1280" s="1001">
        <v>12</v>
      </c>
      <c r="G1280" s="1001">
        <v>6000</v>
      </c>
      <c r="H1280" s="1001">
        <v>12</v>
      </c>
      <c r="I1280" s="1001">
        <v>6000</v>
      </c>
      <c r="J1280" s="1001">
        <v>12</v>
      </c>
      <c r="K1280" s="1001">
        <v>6500</v>
      </c>
      <c r="L1280" s="1001">
        <v>12</v>
      </c>
      <c r="M1280" s="1001">
        <v>7000</v>
      </c>
      <c r="N1280" s="1001">
        <v>12</v>
      </c>
      <c r="O1280" s="1001">
        <v>7500</v>
      </c>
      <c r="P1280" s="1001">
        <v>12</v>
      </c>
      <c r="Q1280" s="1001">
        <v>8000</v>
      </c>
      <c r="R1280" s="1001"/>
      <c r="S1280" s="1004"/>
      <c r="T1280" s="1004"/>
    </row>
    <row r="1281" spans="2:20" s="1003" customFormat="1" ht="38.25" x14ac:dyDescent="0.25">
      <c r="B1281" s="1005" t="s">
        <v>50</v>
      </c>
      <c r="C1281" s="1100" t="s">
        <v>2523</v>
      </c>
      <c r="D1281" s="1000" t="s">
        <v>40</v>
      </c>
      <c r="E1281" s="1001"/>
      <c r="F1281" s="1001">
        <v>12</v>
      </c>
      <c r="G1281" s="1001">
        <v>5491</v>
      </c>
      <c r="H1281" s="1001">
        <v>12</v>
      </c>
      <c r="I1281" s="1001">
        <v>7000</v>
      </c>
      <c r="J1281" s="1001">
        <v>12</v>
      </c>
      <c r="K1281" s="1001">
        <v>7000</v>
      </c>
      <c r="L1281" s="1001">
        <v>12</v>
      </c>
      <c r="M1281" s="1001">
        <v>8000</v>
      </c>
      <c r="N1281" s="1001">
        <v>12</v>
      </c>
      <c r="O1281" s="1001">
        <v>8000</v>
      </c>
      <c r="P1281" s="1001">
        <v>12</v>
      </c>
      <c r="Q1281" s="1001">
        <v>8000</v>
      </c>
      <c r="R1281" s="1001"/>
      <c r="S1281" s="1004"/>
      <c r="T1281" s="1004"/>
    </row>
    <row r="1282" spans="2:20" s="1003" customFormat="1" ht="51" x14ac:dyDescent="0.25">
      <c r="B1282" s="1005" t="s">
        <v>52</v>
      </c>
      <c r="C1282" s="1100" t="s">
        <v>2524</v>
      </c>
      <c r="D1282" s="1000" t="s">
        <v>40</v>
      </c>
      <c r="E1282" s="1001"/>
      <c r="F1282" s="1001">
        <v>12</v>
      </c>
      <c r="G1282" s="1001">
        <v>4000</v>
      </c>
      <c r="H1282" s="1001">
        <v>12</v>
      </c>
      <c r="I1282" s="1001">
        <v>5000</v>
      </c>
      <c r="J1282" s="1001">
        <v>12</v>
      </c>
      <c r="K1282" s="1001">
        <v>5000</v>
      </c>
      <c r="L1282" s="1001">
        <v>12</v>
      </c>
      <c r="M1282" s="1001">
        <v>5000</v>
      </c>
      <c r="N1282" s="1001">
        <v>12</v>
      </c>
      <c r="O1282" s="1001">
        <v>5500</v>
      </c>
      <c r="P1282" s="1001">
        <v>12</v>
      </c>
      <c r="Q1282" s="1001">
        <v>6000</v>
      </c>
      <c r="R1282" s="1001"/>
      <c r="S1282" s="1004"/>
      <c r="T1282" s="1004"/>
    </row>
    <row r="1283" spans="2:20" s="1003" customFormat="1" ht="76.5" x14ac:dyDescent="0.25">
      <c r="B1283" s="1005" t="s">
        <v>782</v>
      </c>
      <c r="C1283" s="1100" t="s">
        <v>2525</v>
      </c>
      <c r="D1283" s="1000" t="s">
        <v>40</v>
      </c>
      <c r="E1283" s="1001"/>
      <c r="F1283" s="1001">
        <v>12</v>
      </c>
      <c r="G1283" s="1001">
        <v>3500</v>
      </c>
      <c r="H1283" s="1001">
        <v>12</v>
      </c>
      <c r="I1283" s="1001">
        <v>3500</v>
      </c>
      <c r="J1283" s="1001">
        <v>12</v>
      </c>
      <c r="K1283" s="1001">
        <v>4000</v>
      </c>
      <c r="L1283" s="1001">
        <v>12</v>
      </c>
      <c r="M1283" s="1001">
        <v>4500</v>
      </c>
      <c r="N1283" s="1001">
        <v>12</v>
      </c>
      <c r="O1283" s="1001">
        <v>5000</v>
      </c>
      <c r="P1283" s="1001">
        <v>12</v>
      </c>
      <c r="Q1283" s="1001">
        <v>5500</v>
      </c>
      <c r="R1283" s="1001"/>
      <c r="S1283" s="1004"/>
      <c r="T1283" s="1004"/>
    </row>
    <row r="1284" spans="2:20" s="1003" customFormat="1" ht="63.75" x14ac:dyDescent="0.25">
      <c r="B1284" s="1005" t="s">
        <v>3232</v>
      </c>
      <c r="C1284" s="1100" t="s">
        <v>2526</v>
      </c>
      <c r="D1284" s="1000" t="s">
        <v>40</v>
      </c>
      <c r="E1284" s="1001"/>
      <c r="F1284" s="1001">
        <v>12</v>
      </c>
      <c r="G1284" s="1001">
        <v>2000</v>
      </c>
      <c r="H1284" s="1001">
        <v>12</v>
      </c>
      <c r="I1284" s="1001">
        <v>2000</v>
      </c>
      <c r="J1284" s="1001">
        <v>12</v>
      </c>
      <c r="K1284" s="1001">
        <v>2500</v>
      </c>
      <c r="L1284" s="1001">
        <v>12</v>
      </c>
      <c r="M1284" s="1001">
        <v>2500</v>
      </c>
      <c r="N1284" s="1001">
        <v>12</v>
      </c>
      <c r="O1284" s="1001">
        <v>3000</v>
      </c>
      <c r="P1284" s="1001">
        <v>12</v>
      </c>
      <c r="Q1284" s="1001">
        <v>3500</v>
      </c>
      <c r="R1284" s="1001"/>
      <c r="S1284" s="1004"/>
      <c r="T1284" s="1004"/>
    </row>
    <row r="1285" spans="2:20" s="1003" customFormat="1" ht="38.25" x14ac:dyDescent="0.25">
      <c r="B1285" s="1005" t="s">
        <v>58</v>
      </c>
      <c r="C1285" s="1100" t="s">
        <v>2527</v>
      </c>
      <c r="D1285" s="1000" t="s">
        <v>40</v>
      </c>
      <c r="E1285" s="1001"/>
      <c r="F1285" s="1001">
        <v>12</v>
      </c>
      <c r="G1285" s="1001">
        <v>15180</v>
      </c>
      <c r="H1285" s="1001">
        <v>12</v>
      </c>
      <c r="I1285" s="1001">
        <v>13200</v>
      </c>
      <c r="J1285" s="1001">
        <v>12</v>
      </c>
      <c r="K1285" s="1001">
        <v>14000</v>
      </c>
      <c r="L1285" s="1001">
        <v>12</v>
      </c>
      <c r="M1285" s="1001">
        <v>14000</v>
      </c>
      <c r="N1285" s="1001">
        <v>12</v>
      </c>
      <c r="O1285" s="1001">
        <v>14000</v>
      </c>
      <c r="P1285" s="1001">
        <v>12</v>
      </c>
      <c r="Q1285" s="1001">
        <v>14000</v>
      </c>
      <c r="R1285" s="1001"/>
      <c r="S1285" s="1004"/>
      <c r="T1285" s="1004"/>
    </row>
    <row r="1286" spans="2:20" s="1003" customFormat="1" ht="51" x14ac:dyDescent="0.25">
      <c r="B1286" s="1005" t="s">
        <v>3233</v>
      </c>
      <c r="C1286" s="1100" t="s">
        <v>2529</v>
      </c>
      <c r="D1286" s="1000" t="s">
        <v>40</v>
      </c>
      <c r="E1286" s="1001"/>
      <c r="F1286" s="1001">
        <v>12</v>
      </c>
      <c r="G1286" s="1001">
        <v>9000</v>
      </c>
      <c r="H1286" s="1001">
        <v>12</v>
      </c>
      <c r="I1286" s="1001">
        <v>16000</v>
      </c>
      <c r="J1286" s="1001">
        <v>12</v>
      </c>
      <c r="K1286" s="1001">
        <v>16000</v>
      </c>
      <c r="L1286" s="1001">
        <v>12</v>
      </c>
      <c r="M1286" s="1001">
        <v>16500</v>
      </c>
      <c r="N1286" s="1001">
        <v>12</v>
      </c>
      <c r="O1286" s="1001">
        <v>16500</v>
      </c>
      <c r="P1286" s="1001">
        <v>12</v>
      </c>
      <c r="Q1286" s="1001">
        <v>17000</v>
      </c>
      <c r="R1286" s="1001"/>
      <c r="S1286" s="1004"/>
      <c r="T1286" s="1004"/>
    </row>
    <row r="1287" spans="2:20" s="1003" customFormat="1" ht="51" x14ac:dyDescent="0.25">
      <c r="B1287" s="1102" t="s">
        <v>137</v>
      </c>
      <c r="C1287" s="1100" t="s">
        <v>2528</v>
      </c>
      <c r="D1287" s="1000" t="s">
        <v>40</v>
      </c>
      <c r="E1287" s="1001"/>
      <c r="F1287" s="1001">
        <v>12</v>
      </c>
      <c r="G1287" s="1001">
        <v>2500</v>
      </c>
      <c r="H1287" s="1001">
        <v>12</v>
      </c>
      <c r="I1287" s="1001">
        <v>900</v>
      </c>
      <c r="J1287" s="1001">
        <v>12</v>
      </c>
      <c r="K1287" s="1001">
        <v>1000</v>
      </c>
      <c r="L1287" s="1001">
        <v>12</v>
      </c>
      <c r="M1287" s="1001">
        <v>1000</v>
      </c>
      <c r="N1287" s="1001">
        <v>12</v>
      </c>
      <c r="O1287" s="1001">
        <v>1500</v>
      </c>
      <c r="P1287" s="1001">
        <v>12</v>
      </c>
      <c r="Q1287" s="1001">
        <v>1500</v>
      </c>
      <c r="R1287" s="1001"/>
      <c r="S1287" s="1004"/>
      <c r="T1287" s="1004"/>
    </row>
    <row r="1288" spans="2:20" s="1003" customFormat="1" ht="38.25" customHeight="1" x14ac:dyDescent="0.25">
      <c r="B1288" s="1061" t="s">
        <v>65</v>
      </c>
      <c r="C1288" s="999" t="s">
        <v>3234</v>
      </c>
      <c r="D1288" s="999" t="s">
        <v>19</v>
      </c>
      <c r="E1288" s="1001">
        <v>70</v>
      </c>
      <c r="F1288" s="1001">
        <v>3</v>
      </c>
      <c r="G1288" s="2114">
        <f>SUM(G1290:G1295)</f>
        <v>88000</v>
      </c>
      <c r="H1288" s="1001">
        <v>2</v>
      </c>
      <c r="I1288" s="2114">
        <f>SUM(I1290:I1295)</f>
        <v>84000</v>
      </c>
      <c r="J1288" s="1001">
        <v>3</v>
      </c>
      <c r="K1288" s="2114">
        <f>SUM(K1290:K1295)</f>
        <v>98000</v>
      </c>
      <c r="L1288" s="1001">
        <v>2</v>
      </c>
      <c r="M1288" s="2114">
        <f>SUM(M1290:M1295)</f>
        <v>98500</v>
      </c>
      <c r="N1288" s="1001">
        <v>3</v>
      </c>
      <c r="O1288" s="2114">
        <f>SUM(O1290:O1295)</f>
        <v>101000</v>
      </c>
      <c r="P1288" s="1001">
        <v>2</v>
      </c>
      <c r="Q1288" s="2114">
        <f>SUM(Q1290:Q1295)</f>
        <v>103000</v>
      </c>
      <c r="R1288" s="1001">
        <f>E1288+F1288+H1288+J1288+L1288+N1288</f>
        <v>83</v>
      </c>
      <c r="S1288" s="1004"/>
      <c r="T1288" s="1004"/>
    </row>
    <row r="1289" spans="2:20" s="1003" customFormat="1" ht="38.25" x14ac:dyDescent="0.25">
      <c r="B1289" s="1067"/>
      <c r="C1289" s="999" t="s">
        <v>3235</v>
      </c>
      <c r="D1289" s="999" t="s">
        <v>19</v>
      </c>
      <c r="E1289" s="1001">
        <v>100</v>
      </c>
      <c r="F1289" s="1001">
        <v>100</v>
      </c>
      <c r="G1289" s="2114"/>
      <c r="H1289" s="1001">
        <v>100</v>
      </c>
      <c r="I1289" s="2114"/>
      <c r="J1289" s="1001">
        <v>100</v>
      </c>
      <c r="K1289" s="2114"/>
      <c r="L1289" s="1001">
        <v>100</v>
      </c>
      <c r="M1289" s="2114"/>
      <c r="N1289" s="1001">
        <v>100</v>
      </c>
      <c r="O1289" s="2114"/>
      <c r="P1289" s="1001">
        <v>100</v>
      </c>
      <c r="Q1289" s="2114"/>
      <c r="R1289" s="1001">
        <v>100</v>
      </c>
      <c r="S1289" s="1004"/>
      <c r="T1289" s="1004"/>
    </row>
    <row r="1290" spans="2:20" s="1003" customFormat="1" ht="38.25" x14ac:dyDescent="0.25">
      <c r="B1290" s="1007" t="s">
        <v>144</v>
      </c>
      <c r="C1290" s="999" t="s">
        <v>3408</v>
      </c>
      <c r="D1290" s="999" t="s">
        <v>69</v>
      </c>
      <c r="E1290" s="1001"/>
      <c r="F1290" s="1001">
        <v>2</v>
      </c>
      <c r="G1290" s="1001"/>
      <c r="H1290" s="1001">
        <v>2</v>
      </c>
      <c r="I1290" s="1001"/>
      <c r="J1290" s="1001">
        <v>2</v>
      </c>
      <c r="K1290" s="1001">
        <v>10000</v>
      </c>
      <c r="L1290" s="1001">
        <v>2</v>
      </c>
      <c r="M1290" s="1001">
        <v>10000</v>
      </c>
      <c r="N1290" s="1001">
        <v>2</v>
      </c>
      <c r="O1290" s="1001">
        <v>10000</v>
      </c>
      <c r="P1290" s="1001">
        <v>2</v>
      </c>
      <c r="Q1290" s="1001">
        <v>10000</v>
      </c>
      <c r="R1290" s="1001"/>
      <c r="S1290" s="1004"/>
      <c r="T1290" s="1004"/>
    </row>
    <row r="1291" spans="2:20" s="1003" customFormat="1" ht="25.5" x14ac:dyDescent="0.25">
      <c r="B1291" s="998" t="s">
        <v>3236</v>
      </c>
      <c r="C1291" s="1000" t="s">
        <v>3634</v>
      </c>
      <c r="D1291" s="1000" t="s">
        <v>75</v>
      </c>
      <c r="E1291" s="1001"/>
      <c r="F1291" s="1001">
        <v>11</v>
      </c>
      <c r="G1291" s="1001">
        <v>15000</v>
      </c>
      <c r="H1291" s="1001">
        <v>0</v>
      </c>
      <c r="I1291" s="1001">
        <v>15000</v>
      </c>
      <c r="J1291" s="1001">
        <v>10</v>
      </c>
      <c r="K1291" s="1001">
        <v>13000</v>
      </c>
      <c r="L1291" s="1001">
        <v>0</v>
      </c>
      <c r="M1291" s="1001">
        <v>13500</v>
      </c>
      <c r="N1291" s="1001">
        <v>0</v>
      </c>
      <c r="O1291" s="1001">
        <v>14000</v>
      </c>
      <c r="P1291" s="1001">
        <v>30</v>
      </c>
      <c r="Q1291" s="1001">
        <v>16000</v>
      </c>
      <c r="R1291" s="1001"/>
      <c r="S1291" s="1004"/>
      <c r="T1291" s="1004"/>
    </row>
    <row r="1292" spans="2:20" s="1003" customFormat="1" ht="25.5" x14ac:dyDescent="0.25">
      <c r="B1292" s="998" t="s">
        <v>3238</v>
      </c>
      <c r="C1292" s="1000" t="s">
        <v>3461</v>
      </c>
      <c r="D1292" s="1000" t="s">
        <v>75</v>
      </c>
      <c r="E1292" s="1001"/>
      <c r="F1292" s="1001">
        <v>10</v>
      </c>
      <c r="G1292" s="1001">
        <v>30000</v>
      </c>
      <c r="H1292" s="1001">
        <v>0</v>
      </c>
      <c r="I1292" s="1001">
        <v>25000</v>
      </c>
      <c r="J1292" s="1001">
        <v>4</v>
      </c>
      <c r="K1292" s="1001">
        <v>25000</v>
      </c>
      <c r="L1292" s="1001">
        <v>0</v>
      </c>
      <c r="M1292" s="1001">
        <v>25000</v>
      </c>
      <c r="N1292" s="1001">
        <v>0</v>
      </c>
      <c r="O1292" s="1001">
        <v>25000</v>
      </c>
      <c r="P1292" s="1001">
        <v>3</v>
      </c>
      <c r="Q1292" s="1001">
        <v>25000</v>
      </c>
      <c r="R1292" s="1001"/>
      <c r="S1292" s="1004"/>
      <c r="T1292" s="1004"/>
    </row>
    <row r="1293" spans="2:20" s="1003" customFormat="1" ht="38.25" x14ac:dyDescent="0.25">
      <c r="B1293" s="1007" t="s">
        <v>3240</v>
      </c>
      <c r="C1293" s="999" t="s">
        <v>3241</v>
      </c>
      <c r="D1293" s="999" t="s">
        <v>40</v>
      </c>
      <c r="E1293" s="1001"/>
      <c r="F1293" s="1001">
        <v>12</v>
      </c>
      <c r="G1293" s="1001">
        <v>3000</v>
      </c>
      <c r="H1293" s="1001">
        <v>12</v>
      </c>
      <c r="I1293" s="1001">
        <v>4000</v>
      </c>
      <c r="J1293" s="1001">
        <v>12</v>
      </c>
      <c r="K1293" s="1001">
        <v>4000</v>
      </c>
      <c r="L1293" s="1001">
        <v>12</v>
      </c>
      <c r="M1293" s="1001">
        <v>4000</v>
      </c>
      <c r="N1293" s="1001">
        <v>12</v>
      </c>
      <c r="O1293" s="1001">
        <v>5000</v>
      </c>
      <c r="P1293" s="1001">
        <v>12</v>
      </c>
      <c r="Q1293" s="1001">
        <v>5000</v>
      </c>
      <c r="R1293" s="1001"/>
      <c r="S1293" s="1004"/>
      <c r="T1293" s="1004"/>
    </row>
    <row r="1294" spans="2:20" s="1003" customFormat="1" ht="38.25" x14ac:dyDescent="0.25">
      <c r="B1294" s="1007" t="s">
        <v>3242</v>
      </c>
      <c r="C1294" s="999" t="s">
        <v>3160</v>
      </c>
      <c r="D1294" s="999" t="s">
        <v>40</v>
      </c>
      <c r="E1294" s="1001"/>
      <c r="F1294" s="1001">
        <v>12</v>
      </c>
      <c r="G1294" s="1001">
        <v>40000</v>
      </c>
      <c r="H1294" s="1001">
        <v>12</v>
      </c>
      <c r="I1294" s="1001">
        <v>40000</v>
      </c>
      <c r="J1294" s="1001">
        <v>12</v>
      </c>
      <c r="K1294" s="1001">
        <v>40000</v>
      </c>
      <c r="L1294" s="1001">
        <v>12</v>
      </c>
      <c r="M1294" s="1001">
        <v>40000</v>
      </c>
      <c r="N1294" s="1001">
        <v>12</v>
      </c>
      <c r="O1294" s="1001">
        <v>40000</v>
      </c>
      <c r="P1294" s="1001">
        <v>12</v>
      </c>
      <c r="Q1294" s="1001">
        <v>40000</v>
      </c>
      <c r="R1294" s="1001"/>
      <c r="S1294" s="1004"/>
      <c r="T1294" s="1004"/>
    </row>
    <row r="1295" spans="2:20" s="1003" customFormat="1" ht="38.25" x14ac:dyDescent="0.25">
      <c r="B1295" s="1007" t="s">
        <v>3243</v>
      </c>
      <c r="C1295" s="999" t="s">
        <v>3244</v>
      </c>
      <c r="D1295" s="999" t="s">
        <v>40</v>
      </c>
      <c r="E1295" s="1001"/>
      <c r="F1295" s="1001">
        <v>12</v>
      </c>
      <c r="G1295" s="1001">
        <v>0</v>
      </c>
      <c r="H1295" s="1001">
        <v>12</v>
      </c>
      <c r="I1295" s="1001">
        <v>0</v>
      </c>
      <c r="J1295" s="1001">
        <v>12</v>
      </c>
      <c r="K1295" s="1001">
        <v>6000</v>
      </c>
      <c r="L1295" s="1001">
        <v>12</v>
      </c>
      <c r="M1295" s="1001">
        <v>6000</v>
      </c>
      <c r="N1295" s="1001">
        <v>12</v>
      </c>
      <c r="O1295" s="1001">
        <v>7000</v>
      </c>
      <c r="P1295" s="1001">
        <v>12</v>
      </c>
      <c r="Q1295" s="1001">
        <v>7000</v>
      </c>
      <c r="R1295" s="1001"/>
      <c r="S1295" s="1004"/>
      <c r="T1295" s="1004"/>
    </row>
    <row r="1296" spans="2:20" s="1003" customFormat="1" ht="63.75" x14ac:dyDescent="0.25">
      <c r="B1296" s="1106" t="s">
        <v>3245</v>
      </c>
      <c r="C1296" s="1000" t="s">
        <v>3246</v>
      </c>
      <c r="D1296" s="1000" t="s">
        <v>79</v>
      </c>
      <c r="E1296" s="1001">
        <v>10</v>
      </c>
      <c r="F1296" s="1001">
        <f>F1297</f>
        <v>2</v>
      </c>
      <c r="G1296" s="1001">
        <v>5000</v>
      </c>
      <c r="H1296" s="1001">
        <f t="shared" ref="H1296:Q1296" si="123">H1297</f>
        <v>2</v>
      </c>
      <c r="I1296" s="1001">
        <v>5000</v>
      </c>
      <c r="J1296" s="1001">
        <f t="shared" si="123"/>
        <v>2</v>
      </c>
      <c r="K1296" s="1001">
        <f t="shared" si="123"/>
        <v>5000</v>
      </c>
      <c r="L1296" s="1001">
        <f t="shared" si="123"/>
        <v>2</v>
      </c>
      <c r="M1296" s="1001">
        <f t="shared" si="123"/>
        <v>6500</v>
      </c>
      <c r="N1296" s="1001">
        <f t="shared" si="123"/>
        <v>2</v>
      </c>
      <c r="O1296" s="1001">
        <f t="shared" si="123"/>
        <v>7000</v>
      </c>
      <c r="P1296" s="1001">
        <f t="shared" si="123"/>
        <v>2</v>
      </c>
      <c r="Q1296" s="1001">
        <f t="shared" si="123"/>
        <v>7500</v>
      </c>
      <c r="R1296" s="1001">
        <f>E1296+F1296+H1296+J1296+L1296+N1296</f>
        <v>20</v>
      </c>
      <c r="S1296" s="1004"/>
      <c r="T1296" s="1004"/>
    </row>
    <row r="1297" spans="2:20" s="1003" customFormat="1" ht="102" x14ac:dyDescent="0.25">
      <c r="B1297" s="998" t="s">
        <v>80</v>
      </c>
      <c r="C1297" s="1000" t="s">
        <v>3247</v>
      </c>
      <c r="D1297" s="1000" t="s">
        <v>79</v>
      </c>
      <c r="E1297" s="1001"/>
      <c r="F1297" s="1001">
        <v>2</v>
      </c>
      <c r="G1297" s="1001">
        <v>5000</v>
      </c>
      <c r="H1297" s="1001">
        <v>2</v>
      </c>
      <c r="I1297" s="1001">
        <v>5000</v>
      </c>
      <c r="J1297" s="1001">
        <v>2</v>
      </c>
      <c r="K1297" s="1001">
        <v>5000</v>
      </c>
      <c r="L1297" s="1001">
        <v>2</v>
      </c>
      <c r="M1297" s="1001">
        <v>6500</v>
      </c>
      <c r="N1297" s="1001">
        <v>2</v>
      </c>
      <c r="O1297" s="1001">
        <v>7000</v>
      </c>
      <c r="P1297" s="1001">
        <v>2</v>
      </c>
      <c r="Q1297" s="1001">
        <v>7500</v>
      </c>
      <c r="R1297" s="1001"/>
      <c r="S1297" s="1004"/>
      <c r="T1297" s="1004"/>
    </row>
    <row r="1298" spans="2:20" s="1003" customFormat="1" ht="48" x14ac:dyDescent="0.25">
      <c r="B1298" s="1106" t="s">
        <v>3248</v>
      </c>
      <c r="C1298" s="1000" t="s">
        <v>3249</v>
      </c>
      <c r="D1298" s="1000" t="s">
        <v>79</v>
      </c>
      <c r="E1298" s="1001">
        <v>5</v>
      </c>
      <c r="F1298" s="1001">
        <v>1</v>
      </c>
      <c r="G1298" s="1001">
        <v>7200</v>
      </c>
      <c r="H1298" s="1001">
        <f t="shared" ref="H1298:P1298" si="124">H1299</f>
        <v>2</v>
      </c>
      <c r="I1298" s="1001">
        <v>8100</v>
      </c>
      <c r="J1298" s="1001">
        <f t="shared" si="124"/>
        <v>2</v>
      </c>
      <c r="K1298" s="1001">
        <v>8100</v>
      </c>
      <c r="L1298" s="1001">
        <f t="shared" si="124"/>
        <v>2</v>
      </c>
      <c r="M1298" s="1001">
        <v>8100</v>
      </c>
      <c r="N1298" s="1001">
        <f t="shared" si="124"/>
        <v>2</v>
      </c>
      <c r="O1298" s="1001">
        <v>8100</v>
      </c>
      <c r="P1298" s="1001">
        <f t="shared" si="124"/>
        <v>2</v>
      </c>
      <c r="Q1298" s="1001">
        <v>8100</v>
      </c>
      <c r="R1298" s="1001">
        <f>E1298+F1298+H1298+J1298+L1298+N1298</f>
        <v>14</v>
      </c>
      <c r="S1298" s="1004"/>
      <c r="T1298" s="1004"/>
    </row>
    <row r="1299" spans="2:20" s="1003" customFormat="1" ht="63.75" x14ac:dyDescent="0.25">
      <c r="B1299" s="998" t="s">
        <v>1712</v>
      </c>
      <c r="C1299" s="1000" t="s">
        <v>3250</v>
      </c>
      <c r="D1299" s="1000"/>
      <c r="E1299" s="1001"/>
      <c r="F1299" s="1001">
        <v>1</v>
      </c>
      <c r="G1299" s="1001">
        <v>7200</v>
      </c>
      <c r="H1299" s="1001">
        <v>2</v>
      </c>
      <c r="I1299" s="1001">
        <v>8100</v>
      </c>
      <c r="J1299" s="1001">
        <v>2</v>
      </c>
      <c r="K1299" s="1001">
        <v>8100</v>
      </c>
      <c r="L1299" s="1001">
        <v>2</v>
      </c>
      <c r="M1299" s="1001">
        <v>8100</v>
      </c>
      <c r="N1299" s="1001">
        <v>2</v>
      </c>
      <c r="O1299" s="1001">
        <v>8100</v>
      </c>
      <c r="P1299" s="1001">
        <v>2</v>
      </c>
      <c r="Q1299" s="1001">
        <v>8100</v>
      </c>
      <c r="R1299" s="1001"/>
      <c r="S1299" s="1004"/>
      <c r="T1299" s="1004"/>
    </row>
    <row r="1300" spans="2:20" s="1003" customFormat="1" ht="63.75" customHeight="1" x14ac:dyDescent="0.25">
      <c r="B1300" s="1065" t="s">
        <v>3251</v>
      </c>
      <c r="C1300" s="1000" t="s">
        <v>3252</v>
      </c>
      <c r="D1300" s="1000" t="s">
        <v>79</v>
      </c>
      <c r="E1300" s="1001">
        <v>5</v>
      </c>
      <c r="F1300" s="1001">
        <v>1</v>
      </c>
      <c r="G1300" s="2114">
        <f>SUM(G1302:G1303)</f>
        <v>16200</v>
      </c>
      <c r="H1300" s="1001">
        <v>1</v>
      </c>
      <c r="I1300" s="2114">
        <f>SUM(I1302:I1303)</f>
        <v>23500</v>
      </c>
      <c r="J1300" s="1001">
        <v>1</v>
      </c>
      <c r="K1300" s="2114">
        <f>SUM(K1302:K1303)</f>
        <v>24000</v>
      </c>
      <c r="L1300" s="1001">
        <v>1</v>
      </c>
      <c r="M1300" s="2114">
        <f>SUM(M1302:M1303)</f>
        <v>26500</v>
      </c>
      <c r="N1300" s="1001">
        <v>1</v>
      </c>
      <c r="O1300" s="2114">
        <f>SUM(O1302:O1303)</f>
        <v>29500</v>
      </c>
      <c r="P1300" s="1001">
        <v>1</v>
      </c>
      <c r="Q1300" s="2114">
        <f>SUM(Q1302:Q1303)</f>
        <v>32500</v>
      </c>
      <c r="R1300" s="1001">
        <f>E1300+F1300+H1300+J1300+L1300+N1300</f>
        <v>10</v>
      </c>
      <c r="S1300" s="1004"/>
      <c r="T1300" s="1004"/>
    </row>
    <row r="1301" spans="2:20" s="1003" customFormat="1" ht="38.25" x14ac:dyDescent="0.25">
      <c r="B1301" s="1066"/>
      <c r="C1301" s="1000" t="s">
        <v>3253</v>
      </c>
      <c r="D1301" s="1000" t="s">
        <v>79</v>
      </c>
      <c r="E1301" s="1001">
        <v>5</v>
      </c>
      <c r="F1301" s="1001">
        <v>1</v>
      </c>
      <c r="G1301" s="2114"/>
      <c r="H1301" s="1001">
        <v>1</v>
      </c>
      <c r="I1301" s="2114"/>
      <c r="J1301" s="1001">
        <v>1</v>
      </c>
      <c r="K1301" s="2114"/>
      <c r="L1301" s="1001">
        <v>1</v>
      </c>
      <c r="M1301" s="2114"/>
      <c r="N1301" s="1001">
        <v>1</v>
      </c>
      <c r="O1301" s="2114"/>
      <c r="P1301" s="1001">
        <v>1</v>
      </c>
      <c r="Q1301" s="2114"/>
      <c r="R1301" s="1001">
        <f>E1301+F1301+H1301+J1301+L1301+N1301</f>
        <v>10</v>
      </c>
      <c r="S1301" s="1004"/>
      <c r="T1301" s="1004"/>
    </row>
    <row r="1302" spans="2:20" s="1003" customFormat="1" ht="38.25" x14ac:dyDescent="0.25">
      <c r="B1302" s="998" t="s">
        <v>3254</v>
      </c>
      <c r="C1302" s="1000" t="s">
        <v>3255</v>
      </c>
      <c r="D1302" s="1000" t="s">
        <v>103</v>
      </c>
      <c r="E1302" s="1001"/>
      <c r="F1302" s="1001">
        <v>2</v>
      </c>
      <c r="G1302" s="1001">
        <v>16200</v>
      </c>
      <c r="H1302" s="1001">
        <v>2</v>
      </c>
      <c r="I1302" s="1001">
        <v>18000</v>
      </c>
      <c r="J1302" s="1001">
        <v>2</v>
      </c>
      <c r="K1302" s="1001">
        <v>18000</v>
      </c>
      <c r="L1302" s="1001">
        <v>2</v>
      </c>
      <c r="M1302" s="1001">
        <v>20000</v>
      </c>
      <c r="N1302" s="1001">
        <v>2</v>
      </c>
      <c r="O1302" s="1001">
        <v>22500</v>
      </c>
      <c r="P1302" s="1001">
        <v>2</v>
      </c>
      <c r="Q1302" s="1001">
        <v>25000</v>
      </c>
      <c r="R1302" s="1001"/>
      <c r="S1302" s="1004"/>
      <c r="T1302" s="1004"/>
    </row>
    <row r="1303" spans="2:20" s="1003" customFormat="1" ht="51" x14ac:dyDescent="0.25">
      <c r="B1303" s="998" t="s">
        <v>3256</v>
      </c>
      <c r="C1303" s="1000" t="s">
        <v>3257</v>
      </c>
      <c r="D1303" s="1000" t="s">
        <v>103</v>
      </c>
      <c r="E1303" s="1001"/>
      <c r="F1303" s="1001">
        <v>18</v>
      </c>
      <c r="G1303" s="1001">
        <v>0</v>
      </c>
      <c r="H1303" s="1001">
        <v>18</v>
      </c>
      <c r="I1303" s="1001">
        <v>5500</v>
      </c>
      <c r="J1303" s="1001">
        <v>18</v>
      </c>
      <c r="K1303" s="1001">
        <v>6000</v>
      </c>
      <c r="L1303" s="1001">
        <v>18</v>
      </c>
      <c r="M1303" s="1001">
        <v>6500</v>
      </c>
      <c r="N1303" s="1001">
        <v>18</v>
      </c>
      <c r="O1303" s="1001">
        <v>7000</v>
      </c>
      <c r="P1303" s="1001">
        <v>18</v>
      </c>
      <c r="Q1303" s="1001">
        <v>7500</v>
      </c>
      <c r="R1303" s="1001"/>
      <c r="S1303" s="1004"/>
      <c r="T1303" s="1004"/>
    </row>
    <row r="1304" spans="2:20" s="1003" customFormat="1" ht="51" x14ac:dyDescent="0.25">
      <c r="B1304" s="1106" t="s">
        <v>3420</v>
      </c>
      <c r="C1304" s="1000" t="s">
        <v>3386</v>
      </c>
      <c r="D1304" s="1000" t="s">
        <v>19</v>
      </c>
      <c r="E1304" s="1001">
        <v>100</v>
      </c>
      <c r="F1304" s="1001">
        <v>100</v>
      </c>
      <c r="G1304" s="1001">
        <f>G1305</f>
        <v>53000</v>
      </c>
      <c r="H1304" s="1001">
        <v>100</v>
      </c>
      <c r="I1304" s="1001">
        <f>I1305</f>
        <v>53000</v>
      </c>
      <c r="J1304" s="1001">
        <v>100</v>
      </c>
      <c r="K1304" s="1001">
        <f>K1305</f>
        <v>55000</v>
      </c>
      <c r="L1304" s="1001">
        <v>100</v>
      </c>
      <c r="M1304" s="1001">
        <f>M1305</f>
        <v>55000</v>
      </c>
      <c r="N1304" s="1001">
        <v>100</v>
      </c>
      <c r="O1304" s="1001">
        <f>O1305</f>
        <v>55000</v>
      </c>
      <c r="P1304" s="1001">
        <v>100</v>
      </c>
      <c r="Q1304" s="1001">
        <f>Q1305</f>
        <v>55000</v>
      </c>
      <c r="R1304" s="1001">
        <v>100</v>
      </c>
      <c r="S1304" s="1004"/>
      <c r="T1304" s="1004"/>
    </row>
    <row r="1305" spans="2:20" s="1003" customFormat="1" ht="25.5" x14ac:dyDescent="0.25">
      <c r="B1305" s="998" t="s">
        <v>3421</v>
      </c>
      <c r="C1305" s="1000" t="s">
        <v>3422</v>
      </c>
      <c r="D1305" s="1000" t="s">
        <v>40</v>
      </c>
      <c r="E1305" s="1001"/>
      <c r="F1305" s="1001">
        <v>12</v>
      </c>
      <c r="G1305" s="1001">
        <v>53000</v>
      </c>
      <c r="H1305" s="1001">
        <v>12</v>
      </c>
      <c r="I1305" s="1001">
        <v>53000</v>
      </c>
      <c r="J1305" s="1001">
        <v>12</v>
      </c>
      <c r="K1305" s="1001">
        <v>55000</v>
      </c>
      <c r="L1305" s="1001">
        <v>12</v>
      </c>
      <c r="M1305" s="1001">
        <v>55000</v>
      </c>
      <c r="N1305" s="1001">
        <v>12</v>
      </c>
      <c r="O1305" s="1001">
        <v>55000</v>
      </c>
      <c r="P1305" s="1001">
        <v>12</v>
      </c>
      <c r="Q1305" s="1001">
        <v>55000</v>
      </c>
      <c r="R1305" s="1001"/>
      <c r="S1305" s="1004"/>
      <c r="T1305" s="1004"/>
    </row>
    <row r="1306" spans="2:20" s="1003" customFormat="1" ht="84" x14ac:dyDescent="0.25">
      <c r="B1306" s="1106" t="s">
        <v>1743</v>
      </c>
      <c r="C1306" s="1000" t="s">
        <v>3265</v>
      </c>
      <c r="D1306" s="1000" t="s">
        <v>19</v>
      </c>
      <c r="E1306" s="1001">
        <v>100</v>
      </c>
      <c r="F1306" s="1001">
        <v>100</v>
      </c>
      <c r="G1306" s="1001">
        <v>23400</v>
      </c>
      <c r="H1306" s="1001">
        <v>100</v>
      </c>
      <c r="I1306" s="1001">
        <v>35000</v>
      </c>
      <c r="J1306" s="1001">
        <v>100</v>
      </c>
      <c r="K1306" s="1001">
        <v>35000</v>
      </c>
      <c r="L1306" s="1001">
        <v>100</v>
      </c>
      <c r="M1306" s="1001">
        <v>40000</v>
      </c>
      <c r="N1306" s="1001">
        <v>100</v>
      </c>
      <c r="O1306" s="1001">
        <v>45000</v>
      </c>
      <c r="P1306" s="1001">
        <v>100</v>
      </c>
      <c r="Q1306" s="1001">
        <v>50000</v>
      </c>
      <c r="R1306" s="1001">
        <v>100</v>
      </c>
      <c r="S1306" s="1004"/>
      <c r="T1306" s="1004"/>
    </row>
    <row r="1307" spans="2:20" s="1003" customFormat="1" ht="25.5" x14ac:dyDescent="0.25">
      <c r="B1307" s="998" t="s">
        <v>3266</v>
      </c>
      <c r="C1307" s="1000" t="s">
        <v>3267</v>
      </c>
      <c r="D1307" s="1000" t="s">
        <v>103</v>
      </c>
      <c r="E1307" s="1001"/>
      <c r="F1307" s="1001">
        <v>18</v>
      </c>
      <c r="G1307" s="1001">
        <v>23400</v>
      </c>
      <c r="H1307" s="1001">
        <v>18</v>
      </c>
      <c r="I1307" s="1001">
        <v>35000</v>
      </c>
      <c r="J1307" s="1001">
        <v>100</v>
      </c>
      <c r="K1307" s="1001">
        <v>35000</v>
      </c>
      <c r="L1307" s="1001">
        <v>18</v>
      </c>
      <c r="M1307" s="1001">
        <v>40000</v>
      </c>
      <c r="N1307" s="1001">
        <v>100</v>
      </c>
      <c r="O1307" s="1001">
        <v>45000</v>
      </c>
      <c r="P1307" s="1001">
        <v>100</v>
      </c>
      <c r="Q1307" s="1001">
        <v>50000</v>
      </c>
      <c r="R1307" s="1001"/>
      <c r="S1307" s="1004"/>
      <c r="T1307" s="1004"/>
    </row>
    <row r="1308" spans="2:20" s="1003" customFormat="1" ht="76.5" x14ac:dyDescent="0.25">
      <c r="B1308" s="998" t="s">
        <v>3629</v>
      </c>
      <c r="C1308" s="1000" t="s">
        <v>3273</v>
      </c>
      <c r="D1308" s="1000" t="s">
        <v>103</v>
      </c>
      <c r="E1308" s="1001"/>
      <c r="F1308" s="1001">
        <v>18</v>
      </c>
      <c r="G1308" s="1039">
        <v>9000</v>
      </c>
      <c r="H1308" s="1001">
        <v>18</v>
      </c>
      <c r="I1308" s="1001">
        <v>9000</v>
      </c>
      <c r="J1308" s="1001">
        <v>18</v>
      </c>
      <c r="K1308" s="1001">
        <v>9500</v>
      </c>
      <c r="L1308" s="1001">
        <v>18</v>
      </c>
      <c r="M1308" s="1001">
        <v>9500</v>
      </c>
      <c r="N1308" s="1001">
        <v>18</v>
      </c>
      <c r="O1308" s="1001">
        <v>9500</v>
      </c>
      <c r="P1308" s="1001">
        <v>18</v>
      </c>
      <c r="Q1308" s="1001">
        <v>10000</v>
      </c>
      <c r="R1308" s="1001"/>
      <c r="S1308" s="1004"/>
      <c r="T1308" s="1004"/>
    </row>
    <row r="1309" spans="2:20" s="1003" customFormat="1" ht="76.5" customHeight="1" x14ac:dyDescent="0.25">
      <c r="B1309" s="1063" t="s">
        <v>3425</v>
      </c>
      <c r="C1309" s="1000" t="s">
        <v>3274</v>
      </c>
      <c r="D1309" s="1000" t="s">
        <v>79</v>
      </c>
      <c r="E1309" s="1001">
        <v>1</v>
      </c>
      <c r="F1309" s="1001">
        <v>1</v>
      </c>
      <c r="G1309" s="1001">
        <f>G1310</f>
        <v>5400</v>
      </c>
      <c r="H1309" s="1001">
        <v>1</v>
      </c>
      <c r="I1309" s="1001">
        <f>I1310</f>
        <v>6300</v>
      </c>
      <c r="J1309" s="1001">
        <v>1</v>
      </c>
      <c r="K1309" s="1001">
        <f>K1310</f>
        <v>6300</v>
      </c>
      <c r="L1309" s="1001">
        <v>1</v>
      </c>
      <c r="M1309" s="1001">
        <f>M1310</f>
        <v>7000</v>
      </c>
      <c r="N1309" s="1001">
        <v>1</v>
      </c>
      <c r="O1309" s="1001">
        <f>O1310</f>
        <v>7000</v>
      </c>
      <c r="P1309" s="1001">
        <v>1</v>
      </c>
      <c r="Q1309" s="1001">
        <f>Q1310</f>
        <v>8000</v>
      </c>
      <c r="R1309" s="1001">
        <f>E1309+F1309+H1309+J1309+L1309+N1309</f>
        <v>6</v>
      </c>
      <c r="S1309" s="1004"/>
      <c r="T1309" s="1004"/>
    </row>
    <row r="1310" spans="2:20" s="1003" customFormat="1" ht="25.5" x14ac:dyDescent="0.25">
      <c r="B1310" s="1008" t="s">
        <v>3277</v>
      </c>
      <c r="C1310" s="1000" t="s">
        <v>3278</v>
      </c>
      <c r="D1310" s="1000" t="s">
        <v>103</v>
      </c>
      <c r="E1310" s="1001"/>
      <c r="F1310" s="1001">
        <v>12</v>
      </c>
      <c r="G1310" s="1001">
        <v>5400</v>
      </c>
      <c r="H1310" s="1001">
        <v>12</v>
      </c>
      <c r="I1310" s="1001">
        <v>6300</v>
      </c>
      <c r="J1310" s="1001">
        <v>12</v>
      </c>
      <c r="K1310" s="1001">
        <v>6300</v>
      </c>
      <c r="L1310" s="1001">
        <v>12</v>
      </c>
      <c r="M1310" s="1001">
        <v>7000</v>
      </c>
      <c r="N1310" s="1001">
        <v>12</v>
      </c>
      <c r="O1310" s="1001">
        <v>7000</v>
      </c>
      <c r="P1310" s="1001">
        <v>12</v>
      </c>
      <c r="Q1310" s="1001">
        <v>8000</v>
      </c>
      <c r="R1310" s="1001"/>
      <c r="S1310" s="1004"/>
      <c r="T1310" s="1004"/>
    </row>
    <row r="1311" spans="2:20" s="1003" customFormat="1" ht="63.75" x14ac:dyDescent="0.25">
      <c r="B1311" s="1063" t="s">
        <v>3280</v>
      </c>
      <c r="C1311" s="1000" t="s">
        <v>3279</v>
      </c>
      <c r="D1311" s="1000" t="s">
        <v>327</v>
      </c>
      <c r="E1311" s="1001">
        <v>16</v>
      </c>
      <c r="F1311" s="1001">
        <v>20</v>
      </c>
      <c r="G1311" s="1001">
        <v>4000</v>
      </c>
      <c r="H1311" s="1001">
        <v>24</v>
      </c>
      <c r="I1311" s="1001">
        <v>4500</v>
      </c>
      <c r="J1311" s="1001">
        <v>28</v>
      </c>
      <c r="K1311" s="1001">
        <v>5000</v>
      </c>
      <c r="L1311" s="1001">
        <v>28</v>
      </c>
      <c r="M1311" s="1001">
        <v>6000</v>
      </c>
      <c r="N1311" s="1001">
        <v>36</v>
      </c>
      <c r="O1311" s="1001">
        <v>7000</v>
      </c>
      <c r="P1311" s="1001">
        <v>40</v>
      </c>
      <c r="Q1311" s="1001">
        <v>7000</v>
      </c>
      <c r="R1311" s="1001">
        <f>N1311</f>
        <v>36</v>
      </c>
      <c r="S1311" s="1004"/>
      <c r="T1311" s="1004"/>
    </row>
    <row r="1312" spans="2:20" s="1003" customFormat="1" ht="76.5" x14ac:dyDescent="0.25">
      <c r="B1312" s="1008" t="s">
        <v>3630</v>
      </c>
      <c r="C1312" s="1000" t="s">
        <v>3281</v>
      </c>
      <c r="D1312" s="1000" t="s">
        <v>327</v>
      </c>
      <c r="E1312" s="1001"/>
      <c r="F1312" s="1001">
        <v>36</v>
      </c>
      <c r="G1312" s="1001">
        <v>4000</v>
      </c>
      <c r="H1312" s="1001">
        <v>36</v>
      </c>
      <c r="I1312" s="1001">
        <v>4500</v>
      </c>
      <c r="J1312" s="1001">
        <v>36</v>
      </c>
      <c r="K1312" s="1001">
        <v>5000</v>
      </c>
      <c r="L1312" s="1001">
        <v>36</v>
      </c>
      <c r="M1312" s="1001">
        <v>6000</v>
      </c>
      <c r="N1312" s="1001">
        <v>36</v>
      </c>
      <c r="O1312" s="1001">
        <v>7000</v>
      </c>
      <c r="P1312" s="1001">
        <v>36</v>
      </c>
      <c r="Q1312" s="1001">
        <v>7000</v>
      </c>
      <c r="R1312" s="1001"/>
      <c r="S1312" s="1004"/>
      <c r="T1312" s="1004"/>
    </row>
    <row r="1313" spans="2:20" s="1003" customFormat="1" ht="38.25" x14ac:dyDescent="0.25">
      <c r="B1313" s="1008" t="s">
        <v>3282</v>
      </c>
      <c r="C1313" s="1000" t="s">
        <v>3283</v>
      </c>
      <c r="D1313" s="1000" t="s">
        <v>327</v>
      </c>
      <c r="E1313" s="1001"/>
      <c r="F1313" s="1001">
        <v>36</v>
      </c>
      <c r="G1313" s="1001">
        <v>4000</v>
      </c>
      <c r="H1313" s="1001">
        <v>36</v>
      </c>
      <c r="I1313" s="1001">
        <v>4500</v>
      </c>
      <c r="J1313" s="1001">
        <v>36</v>
      </c>
      <c r="K1313" s="1001">
        <v>6000</v>
      </c>
      <c r="L1313" s="1001">
        <v>36</v>
      </c>
      <c r="M1313" s="1001">
        <v>6000</v>
      </c>
      <c r="N1313" s="1001">
        <v>36</v>
      </c>
      <c r="O1313" s="1001">
        <v>7000</v>
      </c>
      <c r="P1313" s="1001">
        <v>36</v>
      </c>
      <c r="Q1313" s="1001">
        <v>8000</v>
      </c>
      <c r="R1313" s="1001"/>
      <c r="S1313" s="1004"/>
      <c r="T1313" s="1004"/>
    </row>
    <row r="1314" spans="2:20" s="1003" customFormat="1" ht="60" x14ac:dyDescent="0.25">
      <c r="B1314" s="1106" t="s">
        <v>3284</v>
      </c>
      <c r="C1314" s="1009" t="s">
        <v>3285</v>
      </c>
      <c r="D1314" s="1009" t="s">
        <v>364</v>
      </c>
      <c r="E1314" s="1001">
        <v>100</v>
      </c>
      <c r="F1314" s="1001">
        <v>90</v>
      </c>
      <c r="G1314" s="1001">
        <v>4000</v>
      </c>
      <c r="H1314" s="1001">
        <v>80</v>
      </c>
      <c r="I1314" s="1001">
        <v>4500</v>
      </c>
      <c r="J1314" s="1001">
        <v>70</v>
      </c>
      <c r="K1314" s="1001">
        <v>5000</v>
      </c>
      <c r="L1314" s="1001">
        <v>60</v>
      </c>
      <c r="M1314" s="1001">
        <v>6000</v>
      </c>
      <c r="N1314" s="1001">
        <v>50</v>
      </c>
      <c r="O1314" s="1001">
        <v>7000</v>
      </c>
      <c r="P1314" s="1001">
        <v>50</v>
      </c>
      <c r="Q1314" s="1001">
        <v>8000</v>
      </c>
      <c r="R1314" s="1001">
        <f>N1314</f>
        <v>50</v>
      </c>
      <c r="S1314" s="1004"/>
      <c r="T1314" s="1004"/>
    </row>
    <row r="1315" spans="2:20" s="1003" customFormat="1" ht="63.75" x14ac:dyDescent="0.25">
      <c r="B1315" s="998" t="s">
        <v>3286</v>
      </c>
      <c r="C1315" s="1009" t="s">
        <v>3287</v>
      </c>
      <c r="D1315" s="1009" t="s">
        <v>100</v>
      </c>
      <c r="E1315" s="1001"/>
      <c r="F1315" s="1001">
        <v>20</v>
      </c>
      <c r="G1315" s="1001">
        <v>4000</v>
      </c>
      <c r="H1315" s="1001">
        <v>20</v>
      </c>
      <c r="I1315" s="1001">
        <v>4500</v>
      </c>
      <c r="J1315" s="1001">
        <v>20</v>
      </c>
      <c r="K1315" s="1001">
        <v>5000</v>
      </c>
      <c r="L1315" s="1001">
        <v>20</v>
      </c>
      <c r="M1315" s="1001">
        <v>6000</v>
      </c>
      <c r="N1315" s="1001">
        <v>20</v>
      </c>
      <c r="O1315" s="1001">
        <v>7000</v>
      </c>
      <c r="P1315" s="1001">
        <v>20</v>
      </c>
      <c r="Q1315" s="1001">
        <v>8000</v>
      </c>
      <c r="R1315" s="1001"/>
      <c r="S1315" s="1004"/>
      <c r="T1315" s="1004"/>
    </row>
    <row r="1316" spans="2:20" s="1003" customFormat="1" ht="48" x14ac:dyDescent="0.25">
      <c r="B1316" s="1106" t="s">
        <v>3289</v>
      </c>
      <c r="C1316" s="1009" t="s">
        <v>3288</v>
      </c>
      <c r="D1316" s="1009" t="s">
        <v>100</v>
      </c>
      <c r="E1316" s="1001">
        <v>30</v>
      </c>
      <c r="F1316" s="1001">
        <f>F1317</f>
        <v>30</v>
      </c>
      <c r="G1316" s="1001">
        <v>12000</v>
      </c>
      <c r="H1316" s="1001">
        <f t="shared" ref="H1316:Q1316" si="125">H1317</f>
        <v>30</v>
      </c>
      <c r="I1316" s="1001">
        <v>13000</v>
      </c>
      <c r="J1316" s="1001">
        <f t="shared" si="125"/>
        <v>30</v>
      </c>
      <c r="K1316" s="1001">
        <v>13000</v>
      </c>
      <c r="L1316" s="1001">
        <f t="shared" si="125"/>
        <v>30</v>
      </c>
      <c r="M1316" s="1001">
        <f t="shared" si="125"/>
        <v>13000</v>
      </c>
      <c r="N1316" s="1001">
        <f t="shared" si="125"/>
        <v>30</v>
      </c>
      <c r="O1316" s="1001">
        <f t="shared" si="125"/>
        <v>14000</v>
      </c>
      <c r="P1316" s="1001">
        <f t="shared" si="125"/>
        <v>30</v>
      </c>
      <c r="Q1316" s="1001">
        <f t="shared" si="125"/>
        <v>15000</v>
      </c>
      <c r="R1316" s="1001">
        <f>F1316+H1316+J1316+L1316+N1316</f>
        <v>150</v>
      </c>
      <c r="S1316" s="1004"/>
      <c r="T1316" s="1004"/>
    </row>
    <row r="1317" spans="2:20" s="1003" customFormat="1" ht="76.5" x14ac:dyDescent="0.25">
      <c r="B1317" s="998" t="s">
        <v>894</v>
      </c>
      <c r="C1317" s="1009" t="s">
        <v>3290</v>
      </c>
      <c r="D1317" s="1009" t="s">
        <v>100</v>
      </c>
      <c r="E1317" s="1001"/>
      <c r="F1317" s="1001">
        <v>30</v>
      </c>
      <c r="G1317" s="1001">
        <v>12000</v>
      </c>
      <c r="H1317" s="1001">
        <v>30</v>
      </c>
      <c r="I1317" s="1001">
        <v>13000</v>
      </c>
      <c r="J1317" s="1001">
        <v>30</v>
      </c>
      <c r="K1317" s="1001">
        <v>13000</v>
      </c>
      <c r="L1317" s="1001">
        <v>30</v>
      </c>
      <c r="M1317" s="1001">
        <v>13000</v>
      </c>
      <c r="N1317" s="1001">
        <v>30</v>
      </c>
      <c r="O1317" s="1001">
        <v>14000</v>
      </c>
      <c r="P1317" s="1001">
        <v>30</v>
      </c>
      <c r="Q1317" s="1001">
        <v>15000</v>
      </c>
      <c r="R1317" s="1001"/>
      <c r="S1317" s="1004"/>
      <c r="T1317" s="1004"/>
    </row>
    <row r="1318" spans="2:20" s="1003" customFormat="1" ht="60" x14ac:dyDescent="0.25">
      <c r="B1318" s="1063" t="s">
        <v>3292</v>
      </c>
      <c r="C1318" s="1000" t="s">
        <v>3291</v>
      </c>
      <c r="D1318" s="1000" t="s">
        <v>19</v>
      </c>
      <c r="E1318" s="1001">
        <v>75</v>
      </c>
      <c r="F1318" s="1001">
        <v>77</v>
      </c>
      <c r="G1318" s="1001">
        <f>G1319</f>
        <v>1000</v>
      </c>
      <c r="H1318" s="1001"/>
      <c r="I1318" s="1001">
        <f>I1319</f>
        <v>0</v>
      </c>
      <c r="J1318" s="1001"/>
      <c r="K1318" s="1001">
        <f>K1319</f>
        <v>2000</v>
      </c>
      <c r="L1318" s="1001">
        <v>80</v>
      </c>
      <c r="M1318" s="1001">
        <f>M1319</f>
        <v>0</v>
      </c>
      <c r="N1318" s="1001"/>
      <c r="O1318" s="1001">
        <f>O1319</f>
        <v>25000</v>
      </c>
      <c r="P1318" s="1001"/>
      <c r="Q1318" s="1001">
        <f>Q1319</f>
        <v>0</v>
      </c>
      <c r="R1318" s="1001">
        <f>L1318</f>
        <v>80</v>
      </c>
      <c r="S1318" s="1004"/>
      <c r="T1318" s="1004"/>
    </row>
    <row r="1319" spans="2:20" s="1003" customFormat="1" ht="38.25" x14ac:dyDescent="0.25">
      <c r="B1319" s="1008" t="s">
        <v>3293</v>
      </c>
      <c r="C1319" s="1000" t="s">
        <v>3294</v>
      </c>
      <c r="D1319" s="1000" t="s">
        <v>103</v>
      </c>
      <c r="E1319" s="1001"/>
      <c r="F1319" s="1001">
        <v>18</v>
      </c>
      <c r="G1319" s="1001">
        <v>1000</v>
      </c>
      <c r="H1319" s="1001"/>
      <c r="I1319" s="1001">
        <v>0</v>
      </c>
      <c r="J1319" s="1001"/>
      <c r="K1319" s="1001">
        <v>2000</v>
      </c>
      <c r="L1319" s="1001">
        <v>18</v>
      </c>
      <c r="M1319" s="1001">
        <v>0</v>
      </c>
      <c r="N1319" s="1001"/>
      <c r="O1319" s="1001">
        <v>25000</v>
      </c>
      <c r="P1319" s="1001"/>
      <c r="Q1319" s="1001"/>
      <c r="R1319" s="1001"/>
      <c r="S1319" s="1004"/>
      <c r="T1319" s="1004"/>
    </row>
    <row r="1320" spans="2:20" s="1003" customFormat="1" ht="60" x14ac:dyDescent="0.25">
      <c r="B1320" s="1063" t="s">
        <v>3296</v>
      </c>
      <c r="C1320" s="1000" t="s">
        <v>3295</v>
      </c>
      <c r="D1320" s="1000" t="s">
        <v>327</v>
      </c>
      <c r="E1320" s="1001">
        <v>18</v>
      </c>
      <c r="F1320" s="1001">
        <v>18</v>
      </c>
      <c r="G1320" s="1001">
        <v>3600</v>
      </c>
      <c r="H1320" s="1001">
        <v>18</v>
      </c>
      <c r="I1320" s="1001">
        <v>4500</v>
      </c>
      <c r="J1320" s="1001">
        <v>18</v>
      </c>
      <c r="K1320" s="1001">
        <v>6000</v>
      </c>
      <c r="L1320" s="1001">
        <v>18</v>
      </c>
      <c r="M1320" s="1001">
        <v>7000</v>
      </c>
      <c r="N1320" s="1001">
        <v>18</v>
      </c>
      <c r="O1320" s="1001">
        <v>7500</v>
      </c>
      <c r="P1320" s="1001">
        <v>18</v>
      </c>
      <c r="Q1320" s="1001">
        <v>8000</v>
      </c>
      <c r="R1320" s="1001">
        <f>N1320</f>
        <v>18</v>
      </c>
      <c r="S1320" s="1004"/>
      <c r="T1320" s="1004"/>
    </row>
    <row r="1321" spans="2:20" s="1003" customFormat="1" x14ac:dyDescent="0.25">
      <c r="B1321" s="1008" t="s">
        <v>383</v>
      </c>
      <c r="C1321" s="1000" t="s">
        <v>3297</v>
      </c>
      <c r="D1321" s="1000"/>
      <c r="E1321" s="1001"/>
      <c r="F1321" s="1001">
        <v>18</v>
      </c>
      <c r="G1321" s="1001">
        <v>3600</v>
      </c>
      <c r="H1321" s="1001">
        <v>18</v>
      </c>
      <c r="I1321" s="1001">
        <v>4500</v>
      </c>
      <c r="J1321" s="1001">
        <v>18</v>
      </c>
      <c r="K1321" s="1001">
        <v>6000</v>
      </c>
      <c r="L1321" s="1001">
        <v>18</v>
      </c>
      <c r="M1321" s="1001">
        <v>7000</v>
      </c>
      <c r="N1321" s="1001">
        <v>18</v>
      </c>
      <c r="O1321" s="1001">
        <v>7500</v>
      </c>
      <c r="P1321" s="1001">
        <v>18</v>
      </c>
      <c r="Q1321" s="1001">
        <v>8000</v>
      </c>
      <c r="R1321" s="1001"/>
      <c r="S1321" s="1004"/>
      <c r="T1321" s="1004"/>
    </row>
    <row r="1322" spans="2:20" s="1003" customFormat="1" ht="114.75" x14ac:dyDescent="0.25">
      <c r="B1322" s="1008" t="s">
        <v>3631</v>
      </c>
      <c r="C1322" s="1000" t="s">
        <v>3632</v>
      </c>
      <c r="D1322" s="1000"/>
      <c r="E1322" s="1001"/>
      <c r="F1322" s="1001"/>
      <c r="G1322" s="1001">
        <v>3600</v>
      </c>
      <c r="H1322" s="1001"/>
      <c r="I1322" s="1001">
        <v>4500</v>
      </c>
      <c r="J1322" s="1001"/>
      <c r="K1322" s="1001">
        <v>6000</v>
      </c>
      <c r="L1322" s="1001"/>
      <c r="M1322" s="1001">
        <v>7500</v>
      </c>
      <c r="N1322" s="1001"/>
      <c r="O1322" s="1001">
        <v>7500</v>
      </c>
      <c r="P1322" s="1001"/>
      <c r="Q1322" s="1001">
        <v>8000</v>
      </c>
      <c r="R1322" s="1001"/>
      <c r="S1322" s="1004"/>
      <c r="T1322" s="1004"/>
    </row>
    <row r="1323" spans="2:20" s="1032" customFormat="1" x14ac:dyDescent="0.25">
      <c r="B1323" s="1027" t="s">
        <v>2651</v>
      </c>
      <c r="C1323" s="1033"/>
      <c r="D1323" s="1033"/>
      <c r="E1323" s="1033"/>
      <c r="F1323" s="1033"/>
      <c r="G1323" s="1035">
        <f>G1320+G1318+G1316+G1314+G1311+G1309+G1306+G1304+G1300+G1298+G1296+G1288+G1274</f>
        <v>324871</v>
      </c>
      <c r="H1323" s="1033"/>
      <c r="I1323" s="1033"/>
      <c r="J1323" s="1035">
        <f>K1320+K1318+K1316+K1314+K1311+K1309+K1306+K1304+K1300+K1298+K1296+K1288+K1274</f>
        <v>383750</v>
      </c>
      <c r="K1323" s="1033"/>
      <c r="L1323" s="1035">
        <f>M1320+M1318+M1316+M1314+M1311+M1309+M1306+M1304+M1300+M1298+M1296+M1288+M1274</f>
        <v>397950</v>
      </c>
      <c r="M1323" s="1033"/>
      <c r="N1323" s="1035">
        <f>O1320+O1318+O1316+O1314+O1311+O1309+O1306+O1304+O1300+O1298+O1296+O1288+O1274</f>
        <v>440450</v>
      </c>
      <c r="O1323" s="1033"/>
      <c r="P1323" s="1035">
        <f>Q1320+Q1318+Q1316+Q1314+Q1311+Q1309+Q1306+Q1304+Q1300+Q1298+Q1296+Q1288+Q1274</f>
        <v>434600</v>
      </c>
      <c r="Q1323" s="1033"/>
      <c r="R1323" s="1033"/>
      <c r="S1323" s="1036"/>
      <c r="T1323" s="1036"/>
    </row>
    <row r="1324" spans="2:20" s="1003" customFormat="1" x14ac:dyDescent="0.25">
      <c r="B1324" s="1005"/>
      <c r="C1324" s="1100"/>
      <c r="D1324" s="1000"/>
      <c r="E1324" s="1001"/>
      <c r="F1324" s="1001"/>
      <c r="G1324" s="1001"/>
      <c r="H1324" s="1001"/>
      <c r="I1324" s="1001"/>
      <c r="J1324" s="1001"/>
      <c r="K1324" s="1001"/>
      <c r="L1324" s="1001"/>
      <c r="M1324" s="1001"/>
      <c r="N1324" s="1001"/>
      <c r="O1324" s="1001"/>
      <c r="P1324" s="1001"/>
      <c r="Q1324" s="1001"/>
      <c r="R1324" s="1001"/>
      <c r="S1324" s="1004"/>
      <c r="T1324" s="1004"/>
    </row>
    <row r="1325" spans="2:20" s="1003" customFormat="1" x14ac:dyDescent="0.25">
      <c r="B1325" s="1167" t="s">
        <v>3635</v>
      </c>
      <c r="C1325" s="1100"/>
      <c r="D1325" s="1000"/>
      <c r="E1325" s="1001"/>
      <c r="F1325" s="1001"/>
      <c r="G1325" s="1001"/>
      <c r="H1325" s="1001"/>
      <c r="I1325" s="1001"/>
      <c r="J1325" s="1001"/>
      <c r="K1325" s="1001"/>
      <c r="L1325" s="1001"/>
      <c r="M1325" s="1001"/>
      <c r="N1325" s="1001"/>
      <c r="O1325" s="1001"/>
      <c r="P1325" s="1001"/>
      <c r="Q1325" s="1001"/>
      <c r="R1325" s="1001"/>
      <c r="S1325" s="1004"/>
      <c r="T1325" s="1004"/>
    </row>
    <row r="1326" spans="2:20" s="1003" customFormat="1" ht="51" customHeight="1" x14ac:dyDescent="0.25">
      <c r="B1326" s="998"/>
      <c r="C1326" s="999" t="s">
        <v>3228</v>
      </c>
      <c r="D1326" s="1025" t="s">
        <v>19</v>
      </c>
      <c r="E1326" s="1001">
        <v>90</v>
      </c>
      <c r="F1326" s="1039">
        <v>93</v>
      </c>
      <c r="G1326" s="1039"/>
      <c r="H1326" s="1039">
        <v>94</v>
      </c>
      <c r="I1326" s="1039"/>
      <c r="J1326" s="1039">
        <v>95</v>
      </c>
      <c r="K1326" s="1039"/>
      <c r="L1326" s="1039">
        <v>96</v>
      </c>
      <c r="M1326" s="1039"/>
      <c r="N1326" s="1039">
        <v>97</v>
      </c>
      <c r="O1326" s="1001"/>
      <c r="P1326" s="1001">
        <v>98</v>
      </c>
      <c r="Q1326" s="1001"/>
      <c r="R1326" s="1001">
        <v>97</v>
      </c>
      <c r="S1326" s="1002"/>
      <c r="T1326" s="1002"/>
    </row>
    <row r="1327" spans="2:20" s="1003" customFormat="1" ht="63.75" x14ac:dyDescent="0.25">
      <c r="B1327" s="1106" t="s">
        <v>3229</v>
      </c>
      <c r="C1327" s="1000" t="s">
        <v>1488</v>
      </c>
      <c r="D1327" s="1025" t="s">
        <v>19</v>
      </c>
      <c r="E1327" s="1001">
        <v>100</v>
      </c>
      <c r="F1327" s="1039">
        <v>20</v>
      </c>
      <c r="G1327" s="1039">
        <f>SUM(G1328:G1341)</f>
        <v>93200</v>
      </c>
      <c r="H1327" s="1039">
        <v>20</v>
      </c>
      <c r="I1327" s="1039">
        <f>SUM(I1328:I1341)</f>
        <v>94500</v>
      </c>
      <c r="J1327" s="1039">
        <v>20</v>
      </c>
      <c r="K1327" s="1039">
        <f>SUM(K1328:K1341)</f>
        <v>110620</v>
      </c>
      <c r="L1327" s="1039">
        <v>20</v>
      </c>
      <c r="M1327" s="1039">
        <f>SUM(M1328:M1341)</f>
        <v>121320</v>
      </c>
      <c r="N1327" s="1039">
        <v>20</v>
      </c>
      <c r="O1327" s="1001">
        <f>SUM(O1328:O1341)</f>
        <v>132600</v>
      </c>
      <c r="P1327" s="1001">
        <v>20</v>
      </c>
      <c r="Q1327" s="1001">
        <f>SUM(Q1328:Q1341)</f>
        <v>142700</v>
      </c>
      <c r="R1327" s="1001">
        <v>100</v>
      </c>
      <c r="S1327" s="1004"/>
      <c r="T1327" s="1004"/>
    </row>
    <row r="1328" spans="2:20" s="1003" customFormat="1" ht="25.5" x14ac:dyDescent="0.25">
      <c r="B1328" s="998" t="s">
        <v>124</v>
      </c>
      <c r="C1328" s="1100" t="s">
        <v>3230</v>
      </c>
      <c r="D1328" s="1025" t="s">
        <v>40</v>
      </c>
      <c r="E1328" s="1001"/>
      <c r="F1328" s="1039">
        <v>12</v>
      </c>
      <c r="G1328" s="1039">
        <v>2000</v>
      </c>
      <c r="H1328" s="1039">
        <v>12</v>
      </c>
      <c r="I1328" s="1039">
        <v>2500</v>
      </c>
      <c r="J1328" s="1039">
        <v>12</v>
      </c>
      <c r="K1328" s="1039">
        <v>3000</v>
      </c>
      <c r="L1328" s="1039">
        <v>12</v>
      </c>
      <c r="M1328" s="1039">
        <v>3500</v>
      </c>
      <c r="N1328" s="1039">
        <v>12</v>
      </c>
      <c r="O1328" s="1001">
        <v>4000</v>
      </c>
      <c r="P1328" s="1001">
        <v>12</v>
      </c>
      <c r="Q1328" s="1001">
        <v>4500</v>
      </c>
      <c r="R1328" s="1001"/>
      <c r="S1328" s="1004"/>
      <c r="T1328" s="1004"/>
    </row>
    <row r="1329" spans="2:20" s="1003" customFormat="1" ht="51" x14ac:dyDescent="0.25">
      <c r="B1329" s="1005" t="s">
        <v>126</v>
      </c>
      <c r="C1329" s="1100" t="s">
        <v>2518</v>
      </c>
      <c r="D1329" s="1025" t="s">
        <v>40</v>
      </c>
      <c r="E1329" s="1001"/>
      <c r="F1329" s="1039">
        <v>12</v>
      </c>
      <c r="G1329" s="1039">
        <v>9200</v>
      </c>
      <c r="H1329" s="1039">
        <v>12</v>
      </c>
      <c r="I1329" s="1039">
        <v>8000</v>
      </c>
      <c r="J1329" s="1039">
        <v>12</v>
      </c>
      <c r="K1329" s="1039">
        <v>10000</v>
      </c>
      <c r="L1329" s="1039">
        <v>12</v>
      </c>
      <c r="M1329" s="1039">
        <v>11000</v>
      </c>
      <c r="N1329" s="1039">
        <v>12</v>
      </c>
      <c r="O1329" s="1001">
        <v>12000</v>
      </c>
      <c r="P1329" s="1001">
        <v>12</v>
      </c>
      <c r="Q1329" s="1001">
        <v>13000</v>
      </c>
      <c r="R1329" s="1001"/>
      <c r="S1329" s="1004"/>
      <c r="T1329" s="1004"/>
    </row>
    <row r="1330" spans="2:20" s="1003" customFormat="1" ht="76.5" x14ac:dyDescent="0.25">
      <c r="B1330" s="1005" t="s">
        <v>3231</v>
      </c>
      <c r="C1330" s="1100" t="s">
        <v>2519</v>
      </c>
      <c r="D1330" s="1025" t="s">
        <v>40</v>
      </c>
      <c r="E1330" s="1001"/>
      <c r="F1330" s="1039">
        <v>12</v>
      </c>
      <c r="G1330" s="1039">
        <v>18500</v>
      </c>
      <c r="H1330" s="1039">
        <v>12</v>
      </c>
      <c r="I1330" s="1039">
        <v>18000</v>
      </c>
      <c r="J1330" s="1039">
        <v>12</v>
      </c>
      <c r="K1330" s="1039">
        <v>20000</v>
      </c>
      <c r="L1330" s="1039">
        <v>12</v>
      </c>
      <c r="M1330" s="1039">
        <v>22000</v>
      </c>
      <c r="N1330" s="1039">
        <v>12</v>
      </c>
      <c r="O1330" s="1001">
        <v>24000</v>
      </c>
      <c r="P1330" s="1001">
        <v>12</v>
      </c>
      <c r="Q1330" s="1001">
        <v>26000</v>
      </c>
      <c r="R1330" s="1001"/>
      <c r="S1330" s="1004"/>
      <c r="T1330" s="1004"/>
    </row>
    <row r="1331" spans="2:20" s="1003" customFormat="1" ht="38.25" x14ac:dyDescent="0.25">
      <c r="B1331" s="1005" t="s">
        <v>45</v>
      </c>
      <c r="C1331" s="1100" t="s">
        <v>2520</v>
      </c>
      <c r="D1331" s="1025" t="s">
        <v>40</v>
      </c>
      <c r="E1331" s="1001"/>
      <c r="F1331" s="1039">
        <v>12</v>
      </c>
      <c r="G1331" s="1039">
        <v>12000</v>
      </c>
      <c r="H1331" s="1039">
        <v>12</v>
      </c>
      <c r="I1331" s="1039">
        <v>12000</v>
      </c>
      <c r="J1331" s="1039">
        <v>12</v>
      </c>
      <c r="K1331" s="1039">
        <v>13500</v>
      </c>
      <c r="L1331" s="1039">
        <v>12</v>
      </c>
      <c r="M1331" s="1039">
        <v>14000</v>
      </c>
      <c r="N1331" s="1039">
        <v>12</v>
      </c>
      <c r="O1331" s="1001">
        <v>15000</v>
      </c>
      <c r="P1331" s="1001">
        <v>12</v>
      </c>
      <c r="Q1331" s="1001">
        <v>16000</v>
      </c>
      <c r="R1331" s="1001"/>
      <c r="S1331" s="1004"/>
      <c r="T1331" s="1004"/>
    </row>
    <row r="1332" spans="2:20" s="1003" customFormat="1" ht="38.25" x14ac:dyDescent="0.25">
      <c r="B1332" s="1005" t="s">
        <v>47</v>
      </c>
      <c r="C1332" s="1100" t="s">
        <v>2521</v>
      </c>
      <c r="D1332" s="1025" t="s">
        <v>40</v>
      </c>
      <c r="E1332" s="1001"/>
      <c r="F1332" s="1039">
        <v>12</v>
      </c>
      <c r="G1332" s="1039">
        <v>2000</v>
      </c>
      <c r="H1332" s="1039">
        <v>12</v>
      </c>
      <c r="I1332" s="1039">
        <v>2000</v>
      </c>
      <c r="J1332" s="1039">
        <v>12</v>
      </c>
      <c r="K1332" s="1039">
        <v>3000</v>
      </c>
      <c r="L1332" s="1039">
        <v>12</v>
      </c>
      <c r="M1332" s="1039">
        <v>3500</v>
      </c>
      <c r="N1332" s="1039">
        <v>12</v>
      </c>
      <c r="O1332" s="1001">
        <v>4000</v>
      </c>
      <c r="P1332" s="1001">
        <v>12</v>
      </c>
      <c r="Q1332" s="1001">
        <v>4500</v>
      </c>
      <c r="R1332" s="1001"/>
      <c r="S1332" s="1004"/>
      <c r="T1332" s="1004"/>
    </row>
    <row r="1333" spans="2:20" s="1003" customFormat="1" ht="51" x14ac:dyDescent="0.25">
      <c r="B1333" s="1005" t="s">
        <v>923</v>
      </c>
      <c r="C1333" s="1100" t="s">
        <v>2522</v>
      </c>
      <c r="D1333" s="1025" t="s">
        <v>40</v>
      </c>
      <c r="E1333" s="1001"/>
      <c r="F1333" s="1039">
        <v>12</v>
      </c>
      <c r="G1333" s="1039">
        <v>2500</v>
      </c>
      <c r="H1333" s="1039">
        <v>12</v>
      </c>
      <c r="I1333" s="1039">
        <v>5000</v>
      </c>
      <c r="J1333" s="1039">
        <v>12</v>
      </c>
      <c r="K1333" s="1039">
        <v>6000</v>
      </c>
      <c r="L1333" s="1039">
        <v>12</v>
      </c>
      <c r="M1333" s="1039">
        <v>7000</v>
      </c>
      <c r="N1333" s="1039">
        <v>12</v>
      </c>
      <c r="O1333" s="1001">
        <v>8000</v>
      </c>
      <c r="P1333" s="1001">
        <v>12</v>
      </c>
      <c r="Q1333" s="1001">
        <v>9000</v>
      </c>
      <c r="R1333" s="1001"/>
      <c r="S1333" s="1004"/>
      <c r="T1333" s="1004"/>
    </row>
    <row r="1334" spans="2:20" s="1003" customFormat="1" ht="38.25" x14ac:dyDescent="0.25">
      <c r="B1334" s="1005" t="s">
        <v>50</v>
      </c>
      <c r="C1334" s="1100" t="s">
        <v>2523</v>
      </c>
      <c r="D1334" s="1025" t="s">
        <v>40</v>
      </c>
      <c r="E1334" s="1001"/>
      <c r="F1334" s="1039">
        <v>12</v>
      </c>
      <c r="G1334" s="1039">
        <v>6000</v>
      </c>
      <c r="H1334" s="1039">
        <v>12</v>
      </c>
      <c r="I1334" s="1039">
        <v>6000</v>
      </c>
      <c r="J1334" s="1039">
        <v>12</v>
      </c>
      <c r="K1334" s="1039">
        <v>6500</v>
      </c>
      <c r="L1334" s="1039">
        <v>12</v>
      </c>
      <c r="M1334" s="1039">
        <v>7000</v>
      </c>
      <c r="N1334" s="1039">
        <v>12</v>
      </c>
      <c r="O1334" s="1001">
        <v>7500</v>
      </c>
      <c r="P1334" s="1001">
        <v>12</v>
      </c>
      <c r="Q1334" s="1001">
        <v>8000</v>
      </c>
      <c r="R1334" s="1001"/>
      <c r="S1334" s="1004"/>
      <c r="T1334" s="1004"/>
    </row>
    <row r="1335" spans="2:20" s="1003" customFormat="1" ht="51" x14ac:dyDescent="0.25">
      <c r="B1335" s="1005" t="s">
        <v>52</v>
      </c>
      <c r="C1335" s="1100" t="s">
        <v>2524</v>
      </c>
      <c r="D1335" s="1025" t="s">
        <v>40</v>
      </c>
      <c r="E1335" s="1001"/>
      <c r="F1335" s="1039">
        <v>12</v>
      </c>
      <c r="G1335" s="1039">
        <v>2500</v>
      </c>
      <c r="H1335" s="1039">
        <v>12</v>
      </c>
      <c r="I1335" s="1039">
        <v>3000</v>
      </c>
      <c r="J1335" s="1039">
        <v>12</v>
      </c>
      <c r="K1335" s="1039">
        <v>3500</v>
      </c>
      <c r="L1335" s="1039">
        <v>12</v>
      </c>
      <c r="M1335" s="1039">
        <v>4000</v>
      </c>
      <c r="N1335" s="1039">
        <v>12</v>
      </c>
      <c r="O1335" s="1001">
        <v>4500</v>
      </c>
      <c r="P1335" s="1001">
        <v>12</v>
      </c>
      <c r="Q1335" s="1001">
        <v>5000</v>
      </c>
      <c r="R1335" s="1001"/>
      <c r="S1335" s="1004"/>
      <c r="T1335" s="1004"/>
    </row>
    <row r="1336" spans="2:20" s="1003" customFormat="1" ht="76.5" x14ac:dyDescent="0.25">
      <c r="B1336" s="1005" t="s">
        <v>782</v>
      </c>
      <c r="C1336" s="1100" t="s">
        <v>2525</v>
      </c>
      <c r="D1336" s="1025" t="s">
        <v>40</v>
      </c>
      <c r="E1336" s="1001"/>
      <c r="F1336" s="1039">
        <v>12</v>
      </c>
      <c r="G1336" s="1039">
        <v>2500</v>
      </c>
      <c r="H1336" s="1039">
        <v>12</v>
      </c>
      <c r="I1336" s="1039">
        <v>2000</v>
      </c>
      <c r="J1336" s="1039">
        <v>12</v>
      </c>
      <c r="K1336" s="1039">
        <v>3000</v>
      </c>
      <c r="L1336" s="1039">
        <v>12</v>
      </c>
      <c r="M1336" s="1039">
        <v>4000</v>
      </c>
      <c r="N1336" s="1039">
        <v>12</v>
      </c>
      <c r="O1336" s="1001">
        <v>5000</v>
      </c>
      <c r="P1336" s="1001">
        <v>12</v>
      </c>
      <c r="Q1336" s="1001">
        <v>6000</v>
      </c>
      <c r="R1336" s="1001"/>
      <c r="S1336" s="1004"/>
      <c r="T1336" s="1004"/>
    </row>
    <row r="1337" spans="2:20" s="1003" customFormat="1" ht="63.75" x14ac:dyDescent="0.25">
      <c r="B1337" s="1005" t="s">
        <v>3232</v>
      </c>
      <c r="C1337" s="1100" t="s">
        <v>2526</v>
      </c>
      <c r="D1337" s="1025" t="s">
        <v>40</v>
      </c>
      <c r="E1337" s="1001"/>
      <c r="F1337" s="1039">
        <v>12</v>
      </c>
      <c r="G1337" s="1039">
        <v>1300</v>
      </c>
      <c r="H1337" s="1039">
        <v>12</v>
      </c>
      <c r="I1337" s="1039">
        <v>1300</v>
      </c>
      <c r="J1337" s="1039">
        <v>12</v>
      </c>
      <c r="K1337" s="1039">
        <v>1600</v>
      </c>
      <c r="L1337" s="1039">
        <v>12</v>
      </c>
      <c r="M1337" s="1039">
        <v>1800</v>
      </c>
      <c r="N1337" s="1039">
        <v>12</v>
      </c>
      <c r="O1337" s="1001">
        <v>2000</v>
      </c>
      <c r="P1337" s="1001">
        <v>12</v>
      </c>
      <c r="Q1337" s="1001">
        <v>2100</v>
      </c>
      <c r="R1337" s="1001"/>
      <c r="S1337" s="1004"/>
      <c r="T1337" s="1004"/>
    </row>
    <row r="1338" spans="2:20" s="1003" customFormat="1" ht="38.25" x14ac:dyDescent="0.25">
      <c r="B1338" s="1005" t="s">
        <v>58</v>
      </c>
      <c r="C1338" s="1100" t="s">
        <v>2527</v>
      </c>
      <c r="D1338" s="1025" t="s">
        <v>40</v>
      </c>
      <c r="E1338" s="1001"/>
      <c r="F1338" s="1039">
        <v>12</v>
      </c>
      <c r="G1338" s="1039">
        <v>6500</v>
      </c>
      <c r="H1338" s="1039">
        <v>12</v>
      </c>
      <c r="I1338" s="1039">
        <v>6500</v>
      </c>
      <c r="J1338" s="1039">
        <v>12</v>
      </c>
      <c r="K1338" s="1039">
        <v>7000</v>
      </c>
      <c r="L1338" s="1039">
        <v>12</v>
      </c>
      <c r="M1338" s="1039">
        <v>7500</v>
      </c>
      <c r="N1338" s="1039">
        <v>12</v>
      </c>
      <c r="O1338" s="1001">
        <v>8000</v>
      </c>
      <c r="P1338" s="1001">
        <v>12</v>
      </c>
      <c r="Q1338" s="1001">
        <v>8500</v>
      </c>
      <c r="R1338" s="1001"/>
      <c r="S1338" s="1004"/>
      <c r="T1338" s="1004"/>
    </row>
    <row r="1339" spans="2:20" s="1003" customFormat="1" ht="38.25" x14ac:dyDescent="0.25">
      <c r="B1339" s="1005" t="s">
        <v>62</v>
      </c>
      <c r="C1339" s="1100" t="s">
        <v>3636</v>
      </c>
      <c r="D1339" s="1025" t="s">
        <v>40</v>
      </c>
      <c r="E1339" s="1001"/>
      <c r="F1339" s="1039">
        <v>12</v>
      </c>
      <c r="G1339" s="1039">
        <v>13200</v>
      </c>
      <c r="H1339" s="1039">
        <v>12</v>
      </c>
      <c r="I1339" s="1039">
        <v>13200</v>
      </c>
      <c r="J1339" s="1039">
        <v>12</v>
      </c>
      <c r="K1339" s="1039">
        <f>SUM(G1339*10%+I1339)</f>
        <v>14520</v>
      </c>
      <c r="L1339" s="1039">
        <v>12</v>
      </c>
      <c r="M1339" s="1039">
        <v>14520</v>
      </c>
      <c r="N1339" s="1039">
        <v>12</v>
      </c>
      <c r="O1339" s="1001">
        <v>15600</v>
      </c>
      <c r="P1339" s="1001">
        <v>12</v>
      </c>
      <c r="Q1339" s="1001">
        <v>15600</v>
      </c>
      <c r="R1339" s="1001"/>
      <c r="S1339" s="1004"/>
      <c r="T1339" s="1004"/>
    </row>
    <row r="1340" spans="2:20" s="1003" customFormat="1" ht="51" x14ac:dyDescent="0.25">
      <c r="B1340" s="1005" t="s">
        <v>3233</v>
      </c>
      <c r="C1340" s="1100" t="s">
        <v>2529</v>
      </c>
      <c r="D1340" s="1025" t="s">
        <v>40</v>
      </c>
      <c r="E1340" s="1001"/>
      <c r="F1340" s="1039">
        <v>12</v>
      </c>
      <c r="G1340" s="1039">
        <v>15000</v>
      </c>
      <c r="H1340" s="1039">
        <v>12</v>
      </c>
      <c r="I1340" s="1039">
        <v>15000</v>
      </c>
      <c r="J1340" s="1039">
        <v>12</v>
      </c>
      <c r="K1340" s="1039">
        <v>17000</v>
      </c>
      <c r="L1340" s="1039">
        <v>12</v>
      </c>
      <c r="M1340" s="1039">
        <v>19000</v>
      </c>
      <c r="N1340" s="1039">
        <v>12</v>
      </c>
      <c r="O1340" s="1001">
        <v>20000</v>
      </c>
      <c r="P1340" s="1001">
        <v>12</v>
      </c>
      <c r="Q1340" s="1001">
        <v>21000</v>
      </c>
      <c r="R1340" s="1001"/>
      <c r="S1340" s="1004"/>
      <c r="T1340" s="1004"/>
    </row>
    <row r="1341" spans="2:20" s="1003" customFormat="1" ht="51" x14ac:dyDescent="0.25">
      <c r="B1341" s="1102" t="s">
        <v>137</v>
      </c>
      <c r="C1341" s="1100" t="s">
        <v>2528</v>
      </c>
      <c r="D1341" s="1025" t="s">
        <v>40</v>
      </c>
      <c r="E1341" s="1001"/>
      <c r="F1341" s="1039">
        <v>12</v>
      </c>
      <c r="G1341" s="1039">
        <v>0</v>
      </c>
      <c r="H1341" s="1039">
        <v>12</v>
      </c>
      <c r="I1341" s="1039">
        <v>0</v>
      </c>
      <c r="J1341" s="1039">
        <v>12</v>
      </c>
      <c r="K1341" s="1039">
        <v>2000</v>
      </c>
      <c r="L1341" s="1039">
        <v>12</v>
      </c>
      <c r="M1341" s="1039">
        <v>2500</v>
      </c>
      <c r="N1341" s="1039">
        <v>12</v>
      </c>
      <c r="O1341" s="1001">
        <v>3000</v>
      </c>
      <c r="P1341" s="1001">
        <v>12</v>
      </c>
      <c r="Q1341" s="1001">
        <v>3500</v>
      </c>
      <c r="R1341" s="1001"/>
      <c r="S1341" s="1004"/>
      <c r="T1341" s="1004"/>
    </row>
    <row r="1342" spans="2:20" s="1003" customFormat="1" ht="38.25" customHeight="1" x14ac:dyDescent="0.25">
      <c r="B1342" s="1061" t="s">
        <v>65</v>
      </c>
      <c r="C1342" s="999" t="s">
        <v>3234</v>
      </c>
      <c r="D1342" s="1015" t="s">
        <v>19</v>
      </c>
      <c r="E1342" s="1001">
        <v>70</v>
      </c>
      <c r="F1342" s="1039">
        <v>3</v>
      </c>
      <c r="G1342" s="2112">
        <f>SUM(G1344:G1349)</f>
        <v>41871</v>
      </c>
      <c r="H1342" s="1039">
        <v>2</v>
      </c>
      <c r="I1342" s="2112">
        <f>SUM(I1344:I1349)</f>
        <v>29500</v>
      </c>
      <c r="J1342" s="1039">
        <v>3</v>
      </c>
      <c r="K1342" s="2112">
        <f>SUM(K1344:K1349)</f>
        <v>38000</v>
      </c>
      <c r="L1342" s="1039">
        <v>2</v>
      </c>
      <c r="M1342" s="2112">
        <f>SUM(M1344:M1349)</f>
        <v>35000</v>
      </c>
      <c r="N1342" s="1039">
        <v>3</v>
      </c>
      <c r="O1342" s="2114">
        <f>SUM(O1344:O1349)</f>
        <v>47500</v>
      </c>
      <c r="P1342" s="1001">
        <v>2</v>
      </c>
      <c r="Q1342" s="2114">
        <f>SUM(Q1344:Q1349)</f>
        <v>49000</v>
      </c>
      <c r="R1342" s="1001">
        <f>E1342+F1342+H1342+J1342+L1342+N1342</f>
        <v>83</v>
      </c>
      <c r="S1342" s="1004"/>
      <c r="T1342" s="1004"/>
    </row>
    <row r="1343" spans="2:20" s="1003" customFormat="1" ht="38.25" x14ac:dyDescent="0.25">
      <c r="B1343" s="1067"/>
      <c r="C1343" s="999" t="s">
        <v>3235</v>
      </c>
      <c r="D1343" s="1015" t="s">
        <v>19</v>
      </c>
      <c r="E1343" s="1001">
        <v>100</v>
      </c>
      <c r="F1343" s="1039">
        <v>100</v>
      </c>
      <c r="G1343" s="2112"/>
      <c r="H1343" s="1039">
        <v>100</v>
      </c>
      <c r="I1343" s="2112"/>
      <c r="J1343" s="1039">
        <v>100</v>
      </c>
      <c r="K1343" s="2112"/>
      <c r="L1343" s="1039">
        <v>100</v>
      </c>
      <c r="M1343" s="2112"/>
      <c r="N1343" s="1039">
        <v>100</v>
      </c>
      <c r="O1343" s="2114"/>
      <c r="P1343" s="1001">
        <v>100</v>
      </c>
      <c r="Q1343" s="2114"/>
      <c r="R1343" s="1001">
        <v>100</v>
      </c>
      <c r="S1343" s="1004"/>
      <c r="T1343" s="1004"/>
    </row>
    <row r="1344" spans="2:20" s="1003" customFormat="1" ht="38.25" x14ac:dyDescent="0.25">
      <c r="B1344" s="1007" t="s">
        <v>144</v>
      </c>
      <c r="C1344" s="999" t="s">
        <v>3408</v>
      </c>
      <c r="D1344" s="1015" t="s">
        <v>69</v>
      </c>
      <c r="E1344" s="1001"/>
      <c r="F1344" s="1039">
        <v>2</v>
      </c>
      <c r="G1344" s="1039"/>
      <c r="H1344" s="1039">
        <v>2</v>
      </c>
      <c r="I1344" s="1039"/>
      <c r="J1344" s="1039">
        <v>2</v>
      </c>
      <c r="K1344" s="1039"/>
      <c r="L1344" s="1039">
        <v>2</v>
      </c>
      <c r="M1344" s="1039"/>
      <c r="N1344" s="1039">
        <v>2</v>
      </c>
      <c r="O1344" s="1001"/>
      <c r="P1344" s="1001">
        <v>2</v>
      </c>
      <c r="Q1344" s="1001"/>
      <c r="R1344" s="1001"/>
      <c r="S1344" s="1004"/>
      <c r="T1344" s="1004"/>
    </row>
    <row r="1345" spans="2:20" s="1003" customFormat="1" ht="25.5" x14ac:dyDescent="0.25">
      <c r="B1345" s="998" t="s">
        <v>3236</v>
      </c>
      <c r="C1345" s="1000" t="s">
        <v>3409</v>
      </c>
      <c r="D1345" s="1025" t="s">
        <v>75</v>
      </c>
      <c r="E1345" s="1001"/>
      <c r="F1345" s="1039">
        <v>3</v>
      </c>
      <c r="G1345" s="1039">
        <v>5000</v>
      </c>
      <c r="H1345" s="1039">
        <v>2</v>
      </c>
      <c r="I1345" s="1039">
        <v>1500</v>
      </c>
      <c r="J1345" s="1039">
        <v>2</v>
      </c>
      <c r="K1345" s="1039">
        <v>2000</v>
      </c>
      <c r="L1345" s="1039">
        <v>2</v>
      </c>
      <c r="M1345" s="1039">
        <v>2000</v>
      </c>
      <c r="N1345" s="1039">
        <v>2</v>
      </c>
      <c r="O1345" s="1001">
        <v>2500</v>
      </c>
      <c r="P1345" s="1001">
        <v>2</v>
      </c>
      <c r="Q1345" s="1001">
        <v>3000</v>
      </c>
      <c r="R1345" s="1001"/>
      <c r="S1345" s="1004"/>
      <c r="T1345" s="1004"/>
    </row>
    <row r="1346" spans="2:20" s="1003" customFormat="1" ht="25.5" x14ac:dyDescent="0.25">
      <c r="B1346" s="998" t="s">
        <v>3238</v>
      </c>
      <c r="C1346" s="1000" t="s">
        <v>3461</v>
      </c>
      <c r="D1346" s="1025" t="s">
        <v>75</v>
      </c>
      <c r="E1346" s="1001"/>
      <c r="F1346" s="1039">
        <v>4</v>
      </c>
      <c r="G1346" s="1039">
        <v>28371</v>
      </c>
      <c r="H1346" s="1039">
        <v>4</v>
      </c>
      <c r="I1346" s="1039">
        <v>23000</v>
      </c>
      <c r="J1346" s="1039">
        <v>2</v>
      </c>
      <c r="K1346" s="1039">
        <v>14000</v>
      </c>
      <c r="L1346" s="1039">
        <v>2</v>
      </c>
      <c r="M1346" s="1039">
        <v>16000</v>
      </c>
      <c r="N1346" s="1039">
        <v>2</v>
      </c>
      <c r="O1346" s="1001">
        <v>17000</v>
      </c>
      <c r="P1346" s="1001">
        <v>2</v>
      </c>
      <c r="Q1346" s="1001">
        <v>18000</v>
      </c>
      <c r="R1346" s="1001"/>
      <c r="S1346" s="1004"/>
      <c r="T1346" s="1004"/>
    </row>
    <row r="1347" spans="2:20" s="1003" customFormat="1" ht="38.25" x14ac:dyDescent="0.25">
      <c r="B1347" s="1007" t="s">
        <v>3240</v>
      </c>
      <c r="C1347" s="999" t="s">
        <v>3241</v>
      </c>
      <c r="D1347" s="1015" t="s">
        <v>40</v>
      </c>
      <c r="E1347" s="1001"/>
      <c r="F1347" s="1039">
        <v>12</v>
      </c>
      <c r="G1347" s="1039">
        <v>2500</v>
      </c>
      <c r="H1347" s="1039">
        <v>12</v>
      </c>
      <c r="I1347" s="1039">
        <v>2000</v>
      </c>
      <c r="J1347" s="1039">
        <v>12</v>
      </c>
      <c r="K1347" s="1039">
        <v>6000</v>
      </c>
      <c r="L1347" s="1039">
        <v>12</v>
      </c>
      <c r="M1347" s="1039">
        <v>7000</v>
      </c>
      <c r="N1347" s="1039">
        <v>12</v>
      </c>
      <c r="O1347" s="1001">
        <v>7000</v>
      </c>
      <c r="P1347" s="1001">
        <v>12</v>
      </c>
      <c r="Q1347" s="1001">
        <v>7000</v>
      </c>
      <c r="R1347" s="1001"/>
      <c r="S1347" s="1004"/>
      <c r="T1347" s="1004"/>
    </row>
    <row r="1348" spans="2:20" s="1003" customFormat="1" ht="38.25" x14ac:dyDescent="0.25">
      <c r="B1348" s="1007" t="s">
        <v>3242</v>
      </c>
      <c r="C1348" s="999" t="s">
        <v>3160</v>
      </c>
      <c r="D1348" s="1015" t="s">
        <v>40</v>
      </c>
      <c r="E1348" s="1001"/>
      <c r="F1348" s="1039">
        <v>12</v>
      </c>
      <c r="G1348" s="1039">
        <v>6000</v>
      </c>
      <c r="H1348" s="1039">
        <v>12</v>
      </c>
      <c r="I1348" s="1039">
        <v>3000</v>
      </c>
      <c r="J1348" s="1039">
        <v>12</v>
      </c>
      <c r="K1348" s="1039">
        <v>12000</v>
      </c>
      <c r="L1348" s="1039">
        <v>12</v>
      </c>
      <c r="M1348" s="1039">
        <v>10000</v>
      </c>
      <c r="N1348" s="1039">
        <v>12</v>
      </c>
      <c r="O1348" s="1001">
        <v>14000</v>
      </c>
      <c r="P1348" s="1001">
        <v>12</v>
      </c>
      <c r="Q1348" s="1001">
        <v>14000</v>
      </c>
      <c r="R1348" s="1001"/>
      <c r="S1348" s="1004"/>
      <c r="T1348" s="1004"/>
    </row>
    <row r="1349" spans="2:20" s="1003" customFormat="1" ht="38.25" x14ac:dyDescent="0.25">
      <c r="B1349" s="1007" t="s">
        <v>3243</v>
      </c>
      <c r="C1349" s="999" t="s">
        <v>3244</v>
      </c>
      <c r="D1349" s="1015" t="s">
        <v>40</v>
      </c>
      <c r="E1349" s="1001"/>
      <c r="F1349" s="1039">
        <v>12</v>
      </c>
      <c r="G1349" s="1039">
        <v>0</v>
      </c>
      <c r="H1349" s="1039">
        <v>12</v>
      </c>
      <c r="I1349" s="1039">
        <v>0</v>
      </c>
      <c r="J1349" s="1039">
        <v>12</v>
      </c>
      <c r="K1349" s="1039">
        <v>4000</v>
      </c>
      <c r="L1349" s="1039">
        <v>12</v>
      </c>
      <c r="M1349" s="1039">
        <v>0</v>
      </c>
      <c r="N1349" s="1039">
        <v>12</v>
      </c>
      <c r="O1349" s="1001">
        <v>7000</v>
      </c>
      <c r="P1349" s="1001">
        <v>12</v>
      </c>
      <c r="Q1349" s="1001">
        <v>7000</v>
      </c>
      <c r="R1349" s="1001"/>
      <c r="S1349" s="1004"/>
      <c r="T1349" s="1004"/>
    </row>
    <row r="1350" spans="2:20" s="1003" customFormat="1" ht="63.75" x14ac:dyDescent="0.25">
      <c r="B1350" s="1106" t="s">
        <v>3245</v>
      </c>
      <c r="C1350" s="1000" t="s">
        <v>3246</v>
      </c>
      <c r="D1350" s="1025" t="s">
        <v>79</v>
      </c>
      <c r="E1350" s="1001">
        <v>10</v>
      </c>
      <c r="F1350" s="1039">
        <f>F1351</f>
        <v>2</v>
      </c>
      <c r="G1350" s="1039">
        <f>G1351</f>
        <v>5000</v>
      </c>
      <c r="H1350" s="1039">
        <f t="shared" ref="H1350:Q1350" si="126">H1351</f>
        <v>2</v>
      </c>
      <c r="I1350" s="1039">
        <f>I1351</f>
        <v>4000</v>
      </c>
      <c r="J1350" s="1039">
        <f t="shared" si="126"/>
        <v>2</v>
      </c>
      <c r="K1350" s="1039">
        <f t="shared" si="126"/>
        <v>6000</v>
      </c>
      <c r="L1350" s="1039">
        <f t="shared" si="126"/>
        <v>2</v>
      </c>
      <c r="M1350" s="1039">
        <f t="shared" si="126"/>
        <v>6500</v>
      </c>
      <c r="N1350" s="1039">
        <f t="shared" si="126"/>
        <v>2</v>
      </c>
      <c r="O1350" s="1001">
        <f t="shared" si="126"/>
        <v>7000</v>
      </c>
      <c r="P1350" s="1001">
        <f t="shared" si="126"/>
        <v>2</v>
      </c>
      <c r="Q1350" s="1001">
        <f t="shared" si="126"/>
        <v>7500</v>
      </c>
      <c r="R1350" s="1001">
        <f>E1350+F1350+H1350+J1350+L1350+N1350</f>
        <v>20</v>
      </c>
      <c r="S1350" s="1004"/>
      <c r="T1350" s="1004"/>
    </row>
    <row r="1351" spans="2:20" s="1003" customFormat="1" ht="102" x14ac:dyDescent="0.25">
      <c r="B1351" s="998" t="s">
        <v>80</v>
      </c>
      <c r="C1351" s="1000" t="s">
        <v>3247</v>
      </c>
      <c r="D1351" s="1025" t="s">
        <v>79</v>
      </c>
      <c r="E1351" s="1001"/>
      <c r="F1351" s="1039">
        <v>2</v>
      </c>
      <c r="G1351" s="1039">
        <v>5000</v>
      </c>
      <c r="H1351" s="1039">
        <v>2</v>
      </c>
      <c r="I1351" s="1039">
        <v>4000</v>
      </c>
      <c r="J1351" s="1039">
        <v>2</v>
      </c>
      <c r="K1351" s="1039">
        <v>6000</v>
      </c>
      <c r="L1351" s="1039">
        <v>2</v>
      </c>
      <c r="M1351" s="1039">
        <v>6500</v>
      </c>
      <c r="N1351" s="1039">
        <v>2</v>
      </c>
      <c r="O1351" s="1001">
        <v>7000</v>
      </c>
      <c r="P1351" s="1001">
        <v>2</v>
      </c>
      <c r="Q1351" s="1001">
        <v>7500</v>
      </c>
      <c r="R1351" s="1001"/>
      <c r="S1351" s="1004"/>
      <c r="T1351" s="1004"/>
    </row>
    <row r="1352" spans="2:20" s="1003" customFormat="1" ht="48" x14ac:dyDescent="0.25">
      <c r="B1352" s="1106" t="s">
        <v>3248</v>
      </c>
      <c r="C1352" s="1000" t="s">
        <v>3249</v>
      </c>
      <c r="D1352" s="1025" t="s">
        <v>79</v>
      </c>
      <c r="E1352" s="1001">
        <v>5</v>
      </c>
      <c r="F1352" s="1039">
        <v>1</v>
      </c>
      <c r="G1352" s="1039">
        <f>G1353</f>
        <v>5000</v>
      </c>
      <c r="H1352" s="1039">
        <f t="shared" ref="H1352:Q1352" si="127">H1353</f>
        <v>2</v>
      </c>
      <c r="I1352" s="1039">
        <f t="shared" si="127"/>
        <v>4500</v>
      </c>
      <c r="J1352" s="1039">
        <f t="shared" si="127"/>
        <v>2</v>
      </c>
      <c r="K1352" s="1039">
        <f t="shared" si="127"/>
        <v>6000</v>
      </c>
      <c r="L1352" s="1039">
        <f t="shared" si="127"/>
        <v>2</v>
      </c>
      <c r="M1352" s="1039">
        <f t="shared" si="127"/>
        <v>6500</v>
      </c>
      <c r="N1352" s="1039">
        <f t="shared" si="127"/>
        <v>2</v>
      </c>
      <c r="O1352" s="1001">
        <f t="shared" si="127"/>
        <v>7000</v>
      </c>
      <c r="P1352" s="1001">
        <f t="shared" si="127"/>
        <v>2</v>
      </c>
      <c r="Q1352" s="1001">
        <f t="shared" si="127"/>
        <v>7500</v>
      </c>
      <c r="R1352" s="1001">
        <f>E1352+F1352+H1352+J1352+L1352+N1352</f>
        <v>14</v>
      </c>
      <c r="S1352" s="1004"/>
      <c r="T1352" s="1004"/>
    </row>
    <row r="1353" spans="2:20" s="1003" customFormat="1" ht="63.75" x14ac:dyDescent="0.25">
      <c r="B1353" s="998" t="s">
        <v>1712</v>
      </c>
      <c r="C1353" s="1000" t="s">
        <v>3250</v>
      </c>
      <c r="D1353" s="1025"/>
      <c r="E1353" s="1001"/>
      <c r="F1353" s="1039">
        <v>2</v>
      </c>
      <c r="G1353" s="1039">
        <v>5000</v>
      </c>
      <c r="H1353" s="1039">
        <v>2</v>
      </c>
      <c r="I1353" s="1039">
        <v>4500</v>
      </c>
      <c r="J1353" s="1039">
        <v>2</v>
      </c>
      <c r="K1353" s="1039">
        <v>6000</v>
      </c>
      <c r="L1353" s="1039">
        <v>2</v>
      </c>
      <c r="M1353" s="1039">
        <v>6500</v>
      </c>
      <c r="N1353" s="1039">
        <v>2</v>
      </c>
      <c r="O1353" s="1001">
        <v>7000</v>
      </c>
      <c r="P1353" s="1001">
        <v>2</v>
      </c>
      <c r="Q1353" s="1001">
        <v>7500</v>
      </c>
      <c r="R1353" s="1001"/>
      <c r="S1353" s="1004"/>
      <c r="T1353" s="1004"/>
    </row>
    <row r="1354" spans="2:20" s="1003" customFormat="1" ht="63.75" customHeight="1" x14ac:dyDescent="0.25">
      <c r="B1354" s="1065" t="s">
        <v>3251</v>
      </c>
      <c r="C1354" s="1000" t="s">
        <v>3252</v>
      </c>
      <c r="D1354" s="1025" t="s">
        <v>79</v>
      </c>
      <c r="E1354" s="1001">
        <v>5</v>
      </c>
      <c r="F1354" s="1039">
        <v>1</v>
      </c>
      <c r="G1354" s="2112">
        <f>SUM(G1356:G1357)</f>
        <v>9500</v>
      </c>
      <c r="H1354" s="1039">
        <v>1</v>
      </c>
      <c r="I1354" s="2112">
        <f>SUM(I1356:I1357)</f>
        <v>8367</v>
      </c>
      <c r="J1354" s="1039">
        <v>1</v>
      </c>
      <c r="K1354" s="2112">
        <f>SUM(K1356:K1357)</f>
        <v>14500</v>
      </c>
      <c r="L1354" s="1039">
        <v>1</v>
      </c>
      <c r="M1354" s="2112">
        <f>SUM(M1356:M1357)</f>
        <v>16500</v>
      </c>
      <c r="N1354" s="1039">
        <v>1</v>
      </c>
      <c r="O1354" s="2114">
        <f>SUM(O1356:O1357)</f>
        <v>19000</v>
      </c>
      <c r="P1354" s="1001">
        <v>1</v>
      </c>
      <c r="Q1354" s="2114">
        <f>SUM(Q1356:Q1357)</f>
        <v>21500</v>
      </c>
      <c r="R1354" s="1001">
        <f>E1354+F1354+H1354+J1354+L1354+N1354</f>
        <v>10</v>
      </c>
      <c r="S1354" s="1004"/>
      <c r="T1354" s="1004"/>
    </row>
    <row r="1355" spans="2:20" s="1003" customFormat="1" ht="38.25" x14ac:dyDescent="0.25">
      <c r="B1355" s="1066"/>
      <c r="C1355" s="1000" t="s">
        <v>3253</v>
      </c>
      <c r="D1355" s="1025" t="s">
        <v>79</v>
      </c>
      <c r="E1355" s="1001">
        <v>5</v>
      </c>
      <c r="F1355" s="1039">
        <v>1</v>
      </c>
      <c r="G1355" s="2112"/>
      <c r="H1355" s="1039">
        <v>1</v>
      </c>
      <c r="I1355" s="2112"/>
      <c r="J1355" s="1039">
        <v>1</v>
      </c>
      <c r="K1355" s="2112"/>
      <c r="L1355" s="1039">
        <v>1</v>
      </c>
      <c r="M1355" s="2112"/>
      <c r="N1355" s="1039">
        <v>1</v>
      </c>
      <c r="O1355" s="2114"/>
      <c r="P1355" s="1001">
        <v>1</v>
      </c>
      <c r="Q1355" s="2114"/>
      <c r="R1355" s="1001">
        <f>E1355+F1355+H1355+J1355+L1355+N1355</f>
        <v>10</v>
      </c>
      <c r="S1355" s="1004"/>
      <c r="T1355" s="1004"/>
    </row>
    <row r="1356" spans="2:20" s="1003" customFormat="1" ht="38.25" x14ac:dyDescent="0.25">
      <c r="B1356" s="998" t="s">
        <v>3254</v>
      </c>
      <c r="C1356" s="1000" t="s">
        <v>3255</v>
      </c>
      <c r="D1356" s="1025" t="s">
        <v>103</v>
      </c>
      <c r="E1356" s="1001"/>
      <c r="F1356" s="1039">
        <v>2</v>
      </c>
      <c r="G1356" s="1039">
        <v>9500</v>
      </c>
      <c r="H1356" s="1039">
        <v>2</v>
      </c>
      <c r="I1356" s="1039">
        <v>8367</v>
      </c>
      <c r="J1356" s="1039">
        <v>2</v>
      </c>
      <c r="K1356" s="1039">
        <v>10500</v>
      </c>
      <c r="L1356" s="1039">
        <v>2</v>
      </c>
      <c r="M1356" s="1039">
        <v>12000</v>
      </c>
      <c r="N1356" s="1039">
        <v>2</v>
      </c>
      <c r="O1356" s="1001">
        <v>14000</v>
      </c>
      <c r="P1356" s="1001">
        <v>2</v>
      </c>
      <c r="Q1356" s="1001">
        <v>16000</v>
      </c>
      <c r="R1356" s="1001"/>
      <c r="S1356" s="1004"/>
      <c r="T1356" s="1004"/>
    </row>
    <row r="1357" spans="2:20" s="1003" customFormat="1" ht="51" x14ac:dyDescent="0.25">
      <c r="B1357" s="998" t="s">
        <v>3256</v>
      </c>
      <c r="C1357" s="1000" t="s">
        <v>3257</v>
      </c>
      <c r="D1357" s="1025" t="s">
        <v>103</v>
      </c>
      <c r="E1357" s="1001"/>
      <c r="F1357" s="1039">
        <v>1</v>
      </c>
      <c r="G1357" s="1039">
        <v>0</v>
      </c>
      <c r="H1357" s="1039">
        <v>1</v>
      </c>
      <c r="I1357" s="1039">
        <v>0</v>
      </c>
      <c r="J1357" s="1039">
        <v>1</v>
      </c>
      <c r="K1357" s="1039">
        <v>4000</v>
      </c>
      <c r="L1357" s="1039">
        <v>1</v>
      </c>
      <c r="M1357" s="1039">
        <v>4500</v>
      </c>
      <c r="N1357" s="1039">
        <v>1</v>
      </c>
      <c r="O1357" s="1001">
        <v>5000</v>
      </c>
      <c r="P1357" s="1001">
        <v>1</v>
      </c>
      <c r="Q1357" s="1001">
        <v>5500</v>
      </c>
      <c r="R1357" s="1001"/>
      <c r="S1357" s="1004"/>
      <c r="T1357" s="1004"/>
    </row>
    <row r="1358" spans="2:20" s="1003" customFormat="1" ht="51" x14ac:dyDescent="0.25">
      <c r="B1358" s="1106" t="s">
        <v>3420</v>
      </c>
      <c r="C1358" s="1000" t="s">
        <v>3386</v>
      </c>
      <c r="D1358" s="1025" t="s">
        <v>19</v>
      </c>
      <c r="E1358" s="1001">
        <v>100</v>
      </c>
      <c r="F1358" s="1039">
        <v>100</v>
      </c>
      <c r="G1358" s="1039">
        <f>G1359</f>
        <v>39975</v>
      </c>
      <c r="H1358" s="1039">
        <v>100</v>
      </c>
      <c r="I1358" s="1039">
        <f>I1359</f>
        <v>51000</v>
      </c>
      <c r="J1358" s="1039">
        <v>100</v>
      </c>
      <c r="K1358" s="1039">
        <f>K1359</f>
        <v>55000</v>
      </c>
      <c r="L1358" s="1039">
        <v>100</v>
      </c>
      <c r="M1358" s="1039">
        <f>M1359</f>
        <v>35000</v>
      </c>
      <c r="N1358" s="1039">
        <v>100</v>
      </c>
      <c r="O1358" s="1001">
        <f>O1359</f>
        <v>40000</v>
      </c>
      <c r="P1358" s="1001">
        <v>100</v>
      </c>
      <c r="Q1358" s="1001">
        <f>Q1359</f>
        <v>45000</v>
      </c>
      <c r="R1358" s="1001">
        <v>100</v>
      </c>
      <c r="S1358" s="1004"/>
      <c r="T1358" s="1004"/>
    </row>
    <row r="1359" spans="2:20" s="1003" customFormat="1" ht="25.5" x14ac:dyDescent="0.25">
      <c r="B1359" s="998" t="s">
        <v>3421</v>
      </c>
      <c r="C1359" s="1000" t="s">
        <v>3422</v>
      </c>
      <c r="D1359" s="1025" t="s">
        <v>40</v>
      </c>
      <c r="E1359" s="1001"/>
      <c r="F1359" s="1039">
        <v>12</v>
      </c>
      <c r="G1359" s="1039">
        <v>39975</v>
      </c>
      <c r="H1359" s="1039">
        <v>12</v>
      </c>
      <c r="I1359" s="1039">
        <v>51000</v>
      </c>
      <c r="J1359" s="1039">
        <v>12</v>
      </c>
      <c r="K1359" s="1039">
        <v>55000</v>
      </c>
      <c r="L1359" s="1039">
        <v>12</v>
      </c>
      <c r="M1359" s="1039">
        <v>35000</v>
      </c>
      <c r="N1359" s="1039">
        <v>12</v>
      </c>
      <c r="O1359" s="1001">
        <v>40000</v>
      </c>
      <c r="P1359" s="1001">
        <v>12</v>
      </c>
      <c r="Q1359" s="1001">
        <v>45000</v>
      </c>
      <c r="R1359" s="1001"/>
      <c r="S1359" s="1004"/>
      <c r="T1359" s="1004"/>
    </row>
    <row r="1360" spans="2:20" s="1003" customFormat="1" ht="84" x14ac:dyDescent="0.25">
      <c r="B1360" s="1106" t="s">
        <v>1743</v>
      </c>
      <c r="C1360" s="1000" t="s">
        <v>3265</v>
      </c>
      <c r="D1360" s="1025" t="s">
        <v>19</v>
      </c>
      <c r="E1360" s="1001">
        <v>50</v>
      </c>
      <c r="F1360" s="1039">
        <v>60</v>
      </c>
      <c r="G1360" s="1039">
        <f>SUM(G1361:G1362)</f>
        <v>20000</v>
      </c>
      <c r="H1360" s="1039">
        <v>70</v>
      </c>
      <c r="I1360" s="1039">
        <f>SUM(I1361:I1362)</f>
        <v>13300</v>
      </c>
      <c r="J1360" s="1039">
        <v>80</v>
      </c>
      <c r="K1360" s="1039">
        <f>SUM(K1361:K1362)</f>
        <v>25000</v>
      </c>
      <c r="L1360" s="1039">
        <v>90</v>
      </c>
      <c r="M1360" s="1039">
        <f>SUM(M1361:M1362)</f>
        <v>27500</v>
      </c>
      <c r="N1360" s="1039">
        <v>100</v>
      </c>
      <c r="O1360" s="1039">
        <f>SUM(O1361:O1362)</f>
        <v>30000</v>
      </c>
      <c r="P1360" s="1001">
        <v>100</v>
      </c>
      <c r="Q1360" s="1039">
        <f>SUM(Q1361:Q1362)</f>
        <v>32500</v>
      </c>
      <c r="R1360" s="1001">
        <v>100</v>
      </c>
      <c r="S1360" s="1004"/>
      <c r="T1360" s="1004"/>
    </row>
    <row r="1361" spans="2:20" s="1003" customFormat="1" ht="25.5" x14ac:dyDescent="0.25">
      <c r="B1361" s="998" t="s">
        <v>3266</v>
      </c>
      <c r="C1361" s="1000" t="s">
        <v>3267</v>
      </c>
      <c r="D1361" s="1025" t="s">
        <v>103</v>
      </c>
      <c r="E1361" s="1001"/>
      <c r="F1361" s="1039">
        <v>4</v>
      </c>
      <c r="G1361" s="1039">
        <v>16500</v>
      </c>
      <c r="H1361" s="1039">
        <v>4</v>
      </c>
      <c r="I1361" s="1039">
        <v>9800</v>
      </c>
      <c r="J1361" s="1039">
        <v>4</v>
      </c>
      <c r="K1361" s="1039">
        <v>20000</v>
      </c>
      <c r="L1361" s="1039">
        <v>4</v>
      </c>
      <c r="M1361" s="1039">
        <v>22000</v>
      </c>
      <c r="N1361" s="1039">
        <v>4</v>
      </c>
      <c r="O1361" s="1001">
        <v>24000</v>
      </c>
      <c r="P1361" s="1001">
        <v>4</v>
      </c>
      <c r="Q1361" s="1001">
        <v>26000</v>
      </c>
      <c r="R1361" s="1001"/>
      <c r="S1361" s="1004"/>
      <c r="T1361" s="1004"/>
    </row>
    <row r="1362" spans="2:20" s="1003" customFormat="1" ht="76.5" x14ac:dyDescent="0.25">
      <c r="B1362" s="998" t="s">
        <v>3390</v>
      </c>
      <c r="C1362" s="1000" t="s">
        <v>3273</v>
      </c>
      <c r="D1362" s="1025" t="s">
        <v>100</v>
      </c>
      <c r="E1362" s="1001"/>
      <c r="F1362" s="1039">
        <v>1</v>
      </c>
      <c r="G1362" s="1039">
        <v>3500</v>
      </c>
      <c r="H1362" s="1039">
        <v>1</v>
      </c>
      <c r="I1362" s="1039">
        <v>3500</v>
      </c>
      <c r="J1362" s="1039">
        <v>1</v>
      </c>
      <c r="K1362" s="1039">
        <v>5000</v>
      </c>
      <c r="L1362" s="1039">
        <v>1</v>
      </c>
      <c r="M1362" s="1039">
        <v>5500</v>
      </c>
      <c r="N1362" s="1039">
        <v>1</v>
      </c>
      <c r="O1362" s="1001">
        <v>6000</v>
      </c>
      <c r="P1362" s="1001">
        <v>1</v>
      </c>
      <c r="Q1362" s="1001">
        <v>6500</v>
      </c>
      <c r="R1362" s="1001"/>
      <c r="S1362" s="1004"/>
      <c r="T1362" s="1004"/>
    </row>
    <row r="1363" spans="2:20" s="1003" customFormat="1" ht="72" x14ac:dyDescent="0.25">
      <c r="B1363" s="1068" t="s">
        <v>1716</v>
      </c>
      <c r="C1363" s="1000" t="s">
        <v>3637</v>
      </c>
      <c r="D1363" s="1025" t="s">
        <v>100</v>
      </c>
      <c r="E1363" s="1001"/>
      <c r="F1363" s="1039">
        <v>28</v>
      </c>
      <c r="G1363" s="1039">
        <f>G1364</f>
        <v>6000</v>
      </c>
      <c r="H1363" s="1039">
        <v>21</v>
      </c>
      <c r="I1363" s="1039">
        <f>I1364</f>
        <v>4000</v>
      </c>
      <c r="J1363" s="1039">
        <v>28</v>
      </c>
      <c r="K1363" s="1039">
        <f>K1364</f>
        <v>6000</v>
      </c>
      <c r="L1363" s="1039">
        <v>28</v>
      </c>
      <c r="M1363" s="1039">
        <f>M1364</f>
        <v>6500</v>
      </c>
      <c r="N1363" s="1039">
        <v>28</v>
      </c>
      <c r="O1363" s="1039">
        <f>O1364</f>
        <v>7000</v>
      </c>
      <c r="P1363" s="1001">
        <v>28</v>
      </c>
      <c r="Q1363" s="1039">
        <f>Q1364</f>
        <v>7500</v>
      </c>
      <c r="R1363" s="1001"/>
      <c r="S1363" s="1004"/>
      <c r="T1363" s="1004"/>
    </row>
    <row r="1364" spans="2:20" s="1003" customFormat="1" ht="51" x14ac:dyDescent="0.25">
      <c r="B1364" s="1043" t="s">
        <v>3638</v>
      </c>
      <c r="C1364" s="1000" t="s">
        <v>3639</v>
      </c>
      <c r="D1364" s="1025" t="s">
        <v>100</v>
      </c>
      <c r="E1364" s="1001"/>
      <c r="F1364" s="1039">
        <v>28</v>
      </c>
      <c r="G1364" s="1039">
        <v>6000</v>
      </c>
      <c r="H1364" s="1039">
        <v>21</v>
      </c>
      <c r="I1364" s="1039">
        <v>4000</v>
      </c>
      <c r="J1364" s="1039">
        <v>28</v>
      </c>
      <c r="K1364" s="1039">
        <v>6000</v>
      </c>
      <c r="L1364" s="1039">
        <v>28</v>
      </c>
      <c r="M1364" s="1039">
        <v>6500</v>
      </c>
      <c r="N1364" s="1039">
        <v>28</v>
      </c>
      <c r="O1364" s="1001">
        <v>7000</v>
      </c>
      <c r="P1364" s="1001">
        <v>28</v>
      </c>
      <c r="Q1364" s="1001">
        <v>7500</v>
      </c>
      <c r="R1364" s="1001"/>
      <c r="S1364" s="1004"/>
      <c r="T1364" s="1004"/>
    </row>
    <row r="1365" spans="2:20" s="1003" customFormat="1" ht="76.5" customHeight="1" x14ac:dyDescent="0.25">
      <c r="B1365" s="1063" t="s">
        <v>3425</v>
      </c>
      <c r="C1365" s="1000" t="s">
        <v>3274</v>
      </c>
      <c r="D1365" s="1025" t="s">
        <v>79</v>
      </c>
      <c r="E1365" s="1001">
        <v>1</v>
      </c>
      <c r="F1365" s="1039">
        <v>1</v>
      </c>
      <c r="G1365" s="1039">
        <f>SUM(G1366:G1367)</f>
        <v>5000</v>
      </c>
      <c r="H1365" s="1039">
        <v>1</v>
      </c>
      <c r="I1365" s="1039">
        <f>SUM(I1366:I1367)</f>
        <v>7414</v>
      </c>
      <c r="J1365" s="1039">
        <v>1</v>
      </c>
      <c r="K1365" s="1039">
        <f>SUM(K1366:K1367)</f>
        <v>9000</v>
      </c>
      <c r="L1365" s="1039">
        <v>1</v>
      </c>
      <c r="M1365" s="1039">
        <f>SUM(M1366:M1367)</f>
        <v>10000</v>
      </c>
      <c r="N1365" s="1039">
        <v>1</v>
      </c>
      <c r="O1365" s="1001">
        <f>SUM(O1366:O1367)</f>
        <v>11000</v>
      </c>
      <c r="P1365" s="1001">
        <v>1</v>
      </c>
      <c r="Q1365" s="1001">
        <f>SUM(Q1366:Q1367)</f>
        <v>12000</v>
      </c>
      <c r="R1365" s="1001">
        <f>E1365+F1365+H1365+J1365+L1365+N1365</f>
        <v>6</v>
      </c>
      <c r="S1365" s="1004"/>
      <c r="T1365" s="1004"/>
    </row>
    <row r="1366" spans="2:20" s="1003" customFormat="1" ht="25.5" x14ac:dyDescent="0.25">
      <c r="B1366" s="1008" t="s">
        <v>3277</v>
      </c>
      <c r="C1366" s="1000" t="s">
        <v>3278</v>
      </c>
      <c r="D1366" s="1025" t="s">
        <v>103</v>
      </c>
      <c r="E1366" s="1001"/>
      <c r="F1366" s="1039">
        <v>12</v>
      </c>
      <c r="G1366" s="1039">
        <v>5000</v>
      </c>
      <c r="H1366" s="1039">
        <v>3</v>
      </c>
      <c r="I1366" s="1039">
        <v>3500</v>
      </c>
      <c r="J1366" s="1039">
        <v>3</v>
      </c>
      <c r="K1366" s="1039">
        <v>4000</v>
      </c>
      <c r="L1366" s="1039">
        <v>3</v>
      </c>
      <c r="M1366" s="1039">
        <v>4500</v>
      </c>
      <c r="N1366" s="1039">
        <v>3</v>
      </c>
      <c r="O1366" s="1001">
        <v>5000</v>
      </c>
      <c r="P1366" s="1001">
        <v>3</v>
      </c>
      <c r="Q1366" s="1001">
        <v>5500</v>
      </c>
      <c r="R1366" s="1001"/>
      <c r="S1366" s="1004"/>
      <c r="T1366" s="1004"/>
    </row>
    <row r="1367" spans="2:20" s="1003" customFormat="1" ht="114.75" x14ac:dyDescent="0.25">
      <c r="B1367" s="1008" t="s">
        <v>3640</v>
      </c>
      <c r="C1367" s="1000" t="s">
        <v>3641</v>
      </c>
      <c r="D1367" s="1025" t="s">
        <v>79</v>
      </c>
      <c r="E1367" s="1001"/>
      <c r="F1367" s="1039"/>
      <c r="G1367" s="1039"/>
      <c r="H1367" s="1039">
        <v>1</v>
      </c>
      <c r="I1367" s="1039">
        <v>3914</v>
      </c>
      <c r="J1367" s="1039">
        <v>1</v>
      </c>
      <c r="K1367" s="1039">
        <v>5000</v>
      </c>
      <c r="L1367" s="1039">
        <v>1</v>
      </c>
      <c r="M1367" s="1039">
        <v>5500</v>
      </c>
      <c r="N1367" s="1039">
        <v>1</v>
      </c>
      <c r="O1367" s="1001">
        <v>6000</v>
      </c>
      <c r="P1367" s="1001">
        <v>1</v>
      </c>
      <c r="Q1367" s="1001">
        <v>6500</v>
      </c>
      <c r="R1367" s="1001"/>
      <c r="S1367" s="1004"/>
      <c r="T1367" s="1004"/>
    </row>
    <row r="1368" spans="2:20" s="1003" customFormat="1" ht="63.75" customHeight="1" x14ac:dyDescent="0.25">
      <c r="B1368" s="1063" t="s">
        <v>3280</v>
      </c>
      <c r="C1368" s="1000" t="s">
        <v>3279</v>
      </c>
      <c r="D1368" s="1025" t="s">
        <v>327</v>
      </c>
      <c r="E1368" s="1001">
        <v>16</v>
      </c>
      <c r="F1368" s="1039">
        <v>20</v>
      </c>
      <c r="G1368" s="1039">
        <f>SUM(G1369:G1370)</f>
        <v>9000</v>
      </c>
      <c r="H1368" s="1039">
        <v>24</v>
      </c>
      <c r="I1368" s="1039">
        <f>SUM(I1369:I1370)</f>
        <v>8000</v>
      </c>
      <c r="J1368" s="1039">
        <v>28</v>
      </c>
      <c r="K1368" s="1039">
        <f>SUM(K1369:K1370)</f>
        <v>10000</v>
      </c>
      <c r="L1368" s="1039">
        <v>32</v>
      </c>
      <c r="M1368" s="1039">
        <f>SUM(M1369:M1370)</f>
        <v>11000</v>
      </c>
      <c r="N1368" s="1039">
        <v>36</v>
      </c>
      <c r="O1368" s="1001">
        <f>SUM(O1369:O1370)</f>
        <v>12000</v>
      </c>
      <c r="P1368" s="1001">
        <v>40</v>
      </c>
      <c r="Q1368" s="1001">
        <f>SUM(Q1369:Q1370)</f>
        <v>13000</v>
      </c>
      <c r="R1368" s="1001">
        <f>N1368</f>
        <v>36</v>
      </c>
      <c r="S1368" s="1004"/>
      <c r="T1368" s="1004"/>
    </row>
    <row r="1369" spans="2:20" s="1003" customFormat="1" ht="38.25" x14ac:dyDescent="0.25">
      <c r="B1369" s="1008" t="s">
        <v>1298</v>
      </c>
      <c r="C1369" s="1000" t="s">
        <v>3281</v>
      </c>
      <c r="D1369" s="1025" t="s">
        <v>327</v>
      </c>
      <c r="E1369" s="1001"/>
      <c r="F1369" s="1039">
        <v>8</v>
      </c>
      <c r="G1369" s="1039">
        <v>5000</v>
      </c>
      <c r="H1369" s="1039">
        <v>8</v>
      </c>
      <c r="I1369" s="1039">
        <v>3500</v>
      </c>
      <c r="J1369" s="1039">
        <v>8</v>
      </c>
      <c r="K1369" s="1039">
        <v>5000</v>
      </c>
      <c r="L1369" s="1039">
        <v>8</v>
      </c>
      <c r="M1369" s="1039">
        <v>5500</v>
      </c>
      <c r="N1369" s="1039">
        <v>8</v>
      </c>
      <c r="O1369" s="1001">
        <v>6000</v>
      </c>
      <c r="P1369" s="1001">
        <v>8</v>
      </c>
      <c r="Q1369" s="1001">
        <v>6500</v>
      </c>
      <c r="R1369" s="1001"/>
      <c r="S1369" s="1004"/>
      <c r="T1369" s="1004"/>
    </row>
    <row r="1370" spans="2:20" s="1003" customFormat="1" ht="38.25" x14ac:dyDescent="0.25">
      <c r="B1370" s="1008" t="s">
        <v>3282</v>
      </c>
      <c r="C1370" s="1000" t="s">
        <v>3283</v>
      </c>
      <c r="D1370" s="1025" t="s">
        <v>327</v>
      </c>
      <c r="E1370" s="1001"/>
      <c r="F1370" s="1039">
        <v>1</v>
      </c>
      <c r="G1370" s="1039">
        <v>4000</v>
      </c>
      <c r="H1370" s="1039">
        <v>1</v>
      </c>
      <c r="I1370" s="1039">
        <v>4500</v>
      </c>
      <c r="J1370" s="1039">
        <v>1</v>
      </c>
      <c r="K1370" s="1039">
        <v>5000</v>
      </c>
      <c r="L1370" s="1039">
        <v>1</v>
      </c>
      <c r="M1370" s="1039">
        <v>5500</v>
      </c>
      <c r="N1370" s="1039">
        <v>1</v>
      </c>
      <c r="O1370" s="1001">
        <v>6000</v>
      </c>
      <c r="P1370" s="1001">
        <v>1</v>
      </c>
      <c r="Q1370" s="1001">
        <v>6500</v>
      </c>
      <c r="R1370" s="1001"/>
      <c r="S1370" s="1004"/>
      <c r="T1370" s="1004"/>
    </row>
    <row r="1371" spans="2:20" s="1003" customFormat="1" ht="60" x14ac:dyDescent="0.25">
      <c r="B1371" s="1106" t="s">
        <v>3284</v>
      </c>
      <c r="C1371" s="1009" t="s">
        <v>3285</v>
      </c>
      <c r="D1371" s="1025" t="s">
        <v>364</v>
      </c>
      <c r="E1371" s="1001">
        <v>100</v>
      </c>
      <c r="F1371" s="1039">
        <v>90</v>
      </c>
      <c r="G1371" s="1039">
        <f>SUM(G1372:G1374)</f>
        <v>5000</v>
      </c>
      <c r="H1371" s="1039">
        <v>80</v>
      </c>
      <c r="I1371" s="1039">
        <f>SUM(I1372:I1374)</f>
        <v>11000</v>
      </c>
      <c r="J1371" s="1039">
        <v>70</v>
      </c>
      <c r="K1371" s="1039">
        <f>SUM(K1372:K1374)</f>
        <v>14000</v>
      </c>
      <c r="L1371" s="1039">
        <v>60</v>
      </c>
      <c r="M1371" s="1039">
        <f>SUM(M1372:M1374)</f>
        <v>15500</v>
      </c>
      <c r="N1371" s="1039">
        <v>50</v>
      </c>
      <c r="O1371" s="1001">
        <f>SUM(O1372:O1374)</f>
        <v>17000</v>
      </c>
      <c r="P1371" s="1001">
        <v>50</v>
      </c>
      <c r="Q1371" s="1001">
        <f>SUM(Q1372:Q1374)</f>
        <v>18500</v>
      </c>
      <c r="R1371" s="1001">
        <f>N1371</f>
        <v>50</v>
      </c>
      <c r="S1371" s="1004"/>
      <c r="T1371" s="1004"/>
    </row>
    <row r="1372" spans="2:20" s="1003" customFormat="1" ht="63.75" x14ac:dyDescent="0.25">
      <c r="B1372" s="998" t="s">
        <v>3286</v>
      </c>
      <c r="C1372" s="1009" t="s">
        <v>3287</v>
      </c>
      <c r="D1372" s="1025" t="s">
        <v>100</v>
      </c>
      <c r="E1372" s="1001"/>
      <c r="F1372" s="1039">
        <v>0</v>
      </c>
      <c r="G1372" s="1039">
        <v>0</v>
      </c>
      <c r="H1372" s="1039">
        <v>20</v>
      </c>
      <c r="I1372" s="1039">
        <v>4000</v>
      </c>
      <c r="J1372" s="1039">
        <v>20</v>
      </c>
      <c r="K1372" s="1039">
        <v>5000</v>
      </c>
      <c r="L1372" s="1039">
        <v>20</v>
      </c>
      <c r="M1372" s="1039">
        <v>5500</v>
      </c>
      <c r="N1372" s="1039">
        <v>20</v>
      </c>
      <c r="O1372" s="1001">
        <v>6000</v>
      </c>
      <c r="P1372" s="1001">
        <v>20</v>
      </c>
      <c r="Q1372" s="1001">
        <v>6500</v>
      </c>
      <c r="R1372" s="1001"/>
      <c r="S1372" s="1004"/>
      <c r="T1372" s="1004"/>
    </row>
    <row r="1373" spans="2:20" s="1003" customFormat="1" ht="102" x14ac:dyDescent="0.25">
      <c r="B1373" s="998" t="s">
        <v>3642</v>
      </c>
      <c r="C1373" s="1009" t="s">
        <v>3643</v>
      </c>
      <c r="D1373" s="1025" t="s">
        <v>100</v>
      </c>
      <c r="E1373" s="1001"/>
      <c r="F1373" s="1039"/>
      <c r="G1373" s="1039"/>
      <c r="H1373" s="1039">
        <v>15</v>
      </c>
      <c r="I1373" s="1039">
        <v>3000</v>
      </c>
      <c r="J1373" s="1039">
        <v>15</v>
      </c>
      <c r="K1373" s="1039">
        <v>4000</v>
      </c>
      <c r="L1373" s="1039">
        <v>15</v>
      </c>
      <c r="M1373" s="1039">
        <v>4500</v>
      </c>
      <c r="N1373" s="1039">
        <v>15</v>
      </c>
      <c r="O1373" s="1001">
        <v>5000</v>
      </c>
      <c r="P1373" s="1001">
        <v>15</v>
      </c>
      <c r="Q1373" s="1001">
        <v>5500</v>
      </c>
      <c r="R1373" s="1001"/>
      <c r="S1373" s="1004"/>
      <c r="T1373" s="1004"/>
    </row>
    <row r="1374" spans="2:20" s="1003" customFormat="1" ht="89.25" x14ac:dyDescent="0.25">
      <c r="B1374" s="998" t="s">
        <v>3644</v>
      </c>
      <c r="C1374" s="1009" t="s">
        <v>879</v>
      </c>
      <c r="D1374" s="1025" t="s">
        <v>100</v>
      </c>
      <c r="E1374" s="1001"/>
      <c r="F1374" s="1039">
        <v>35</v>
      </c>
      <c r="G1374" s="1039">
        <v>5000</v>
      </c>
      <c r="H1374" s="1039">
        <v>20</v>
      </c>
      <c r="I1374" s="1039">
        <v>4000</v>
      </c>
      <c r="J1374" s="1039">
        <v>20</v>
      </c>
      <c r="K1374" s="1039">
        <v>5000</v>
      </c>
      <c r="L1374" s="1039">
        <v>20</v>
      </c>
      <c r="M1374" s="1039">
        <v>5500</v>
      </c>
      <c r="N1374" s="1039">
        <v>20</v>
      </c>
      <c r="O1374" s="1001">
        <v>6000</v>
      </c>
      <c r="P1374" s="1001">
        <v>20</v>
      </c>
      <c r="Q1374" s="1001">
        <v>6500</v>
      </c>
      <c r="R1374" s="1001"/>
      <c r="S1374" s="1004"/>
      <c r="T1374" s="1004"/>
    </row>
    <row r="1375" spans="2:20" s="1003" customFormat="1" ht="48" x14ac:dyDescent="0.25">
      <c r="B1375" s="1106" t="s">
        <v>3289</v>
      </c>
      <c r="C1375" s="1009" t="s">
        <v>3288</v>
      </c>
      <c r="D1375" s="1025" t="s">
        <v>100</v>
      </c>
      <c r="E1375" s="1001">
        <v>30</v>
      </c>
      <c r="F1375" s="1039">
        <f>F1376</f>
        <v>30</v>
      </c>
      <c r="G1375" s="1039">
        <f t="shared" ref="G1375:Q1375" si="128">G1376</f>
        <v>10000</v>
      </c>
      <c r="H1375" s="1039">
        <f t="shared" si="128"/>
        <v>30</v>
      </c>
      <c r="I1375" s="1039">
        <f t="shared" si="128"/>
        <v>11500</v>
      </c>
      <c r="J1375" s="1039">
        <f t="shared" si="128"/>
        <v>30</v>
      </c>
      <c r="K1375" s="1039">
        <f t="shared" si="128"/>
        <v>12000</v>
      </c>
      <c r="L1375" s="1039">
        <f t="shared" si="128"/>
        <v>30</v>
      </c>
      <c r="M1375" s="1039">
        <f t="shared" si="128"/>
        <v>12500</v>
      </c>
      <c r="N1375" s="1039">
        <f t="shared" si="128"/>
        <v>30</v>
      </c>
      <c r="O1375" s="1001">
        <f t="shared" si="128"/>
        <v>13000</v>
      </c>
      <c r="P1375" s="1001">
        <f t="shared" si="128"/>
        <v>30</v>
      </c>
      <c r="Q1375" s="1001">
        <f t="shared" si="128"/>
        <v>13500</v>
      </c>
      <c r="R1375" s="1001">
        <f>F1375+H1375+J1375+L1375+N1375</f>
        <v>150</v>
      </c>
      <c r="S1375" s="1004"/>
      <c r="T1375" s="1004"/>
    </row>
    <row r="1376" spans="2:20" s="1003" customFormat="1" ht="76.5" x14ac:dyDescent="0.25">
      <c r="B1376" s="998" t="s">
        <v>894</v>
      </c>
      <c r="C1376" s="1009" t="s">
        <v>3290</v>
      </c>
      <c r="D1376" s="1025" t="s">
        <v>100</v>
      </c>
      <c r="E1376" s="1001"/>
      <c r="F1376" s="1039">
        <v>30</v>
      </c>
      <c r="G1376" s="1039">
        <v>10000</v>
      </c>
      <c r="H1376" s="1039">
        <v>30</v>
      </c>
      <c r="I1376" s="1039">
        <v>11500</v>
      </c>
      <c r="J1376" s="1039">
        <v>30</v>
      </c>
      <c r="K1376" s="1039">
        <v>12000</v>
      </c>
      <c r="L1376" s="1039">
        <v>30</v>
      </c>
      <c r="M1376" s="1039">
        <v>12500</v>
      </c>
      <c r="N1376" s="1039">
        <v>30</v>
      </c>
      <c r="O1376" s="1001">
        <v>13000</v>
      </c>
      <c r="P1376" s="1001">
        <v>30</v>
      </c>
      <c r="Q1376" s="1001">
        <v>13500</v>
      </c>
      <c r="R1376" s="1001"/>
      <c r="S1376" s="1004"/>
      <c r="T1376" s="1004"/>
    </row>
    <row r="1377" spans="2:20" s="1003" customFormat="1" ht="60" x14ac:dyDescent="0.25">
      <c r="B1377" s="1063" t="s">
        <v>3292</v>
      </c>
      <c r="C1377" s="1000" t="s">
        <v>3291</v>
      </c>
      <c r="D1377" s="1025" t="s">
        <v>19</v>
      </c>
      <c r="E1377" s="1001">
        <v>75</v>
      </c>
      <c r="F1377" s="1039">
        <v>77</v>
      </c>
      <c r="G1377" s="1039">
        <f>G1378</f>
        <v>0</v>
      </c>
      <c r="H1377" s="1039"/>
      <c r="I1377" s="1039">
        <f>I1378</f>
        <v>0</v>
      </c>
      <c r="J1377" s="1039"/>
      <c r="K1377" s="1039">
        <f>K1378</f>
        <v>3000</v>
      </c>
      <c r="L1377" s="1039">
        <v>80</v>
      </c>
      <c r="M1377" s="1039">
        <f>M1378</f>
        <v>18000</v>
      </c>
      <c r="N1377" s="1039"/>
      <c r="O1377" s="1001">
        <f>O1378</f>
        <v>0</v>
      </c>
      <c r="P1377" s="1001"/>
      <c r="Q1377" s="1001">
        <f>Q1378</f>
        <v>0</v>
      </c>
      <c r="R1377" s="1001">
        <f>L1377</f>
        <v>80</v>
      </c>
      <c r="S1377" s="1004"/>
      <c r="T1377" s="1004"/>
    </row>
    <row r="1378" spans="2:20" s="1003" customFormat="1" ht="38.25" x14ac:dyDescent="0.25">
      <c r="B1378" s="1008" t="s">
        <v>3293</v>
      </c>
      <c r="C1378" s="1000" t="s">
        <v>3294</v>
      </c>
      <c r="D1378" s="1025" t="s">
        <v>103</v>
      </c>
      <c r="E1378" s="1001"/>
      <c r="F1378" s="1039">
        <v>10</v>
      </c>
      <c r="G1378" s="1039">
        <v>0</v>
      </c>
      <c r="H1378" s="1039"/>
      <c r="I1378" s="1039"/>
      <c r="J1378" s="1039">
        <v>1</v>
      </c>
      <c r="K1378" s="1039">
        <v>3000</v>
      </c>
      <c r="L1378" s="1039">
        <v>6</v>
      </c>
      <c r="M1378" s="1039">
        <v>18000</v>
      </c>
      <c r="N1378" s="1039"/>
      <c r="O1378" s="1001"/>
      <c r="P1378" s="1001"/>
      <c r="Q1378" s="1001"/>
      <c r="R1378" s="1001"/>
      <c r="S1378" s="1004"/>
      <c r="T1378" s="1004"/>
    </row>
    <row r="1379" spans="2:20" s="1003" customFormat="1" ht="60" x14ac:dyDescent="0.25">
      <c r="B1379" s="1063" t="s">
        <v>3296</v>
      </c>
      <c r="C1379" s="1000" t="s">
        <v>3295</v>
      </c>
      <c r="D1379" s="1025" t="s">
        <v>327</v>
      </c>
      <c r="E1379" s="1001">
        <v>8</v>
      </c>
      <c r="F1379" s="1039">
        <f>F1380</f>
        <v>8</v>
      </c>
      <c r="G1379" s="1039">
        <f t="shared" ref="G1379:Q1379" si="129">G1380</f>
        <v>4000</v>
      </c>
      <c r="H1379" s="1039">
        <f t="shared" si="129"/>
        <v>8</v>
      </c>
      <c r="I1379" s="1039">
        <f t="shared" si="129"/>
        <v>3000</v>
      </c>
      <c r="J1379" s="1039">
        <f t="shared" si="129"/>
        <v>8</v>
      </c>
      <c r="K1379" s="1039">
        <f t="shared" si="129"/>
        <v>6000</v>
      </c>
      <c r="L1379" s="1039">
        <f t="shared" si="129"/>
        <v>8</v>
      </c>
      <c r="M1379" s="1039">
        <f t="shared" si="129"/>
        <v>6500</v>
      </c>
      <c r="N1379" s="1039">
        <f t="shared" si="129"/>
        <v>8</v>
      </c>
      <c r="O1379" s="1001">
        <f t="shared" si="129"/>
        <v>7000</v>
      </c>
      <c r="P1379" s="1001">
        <f t="shared" si="129"/>
        <v>8</v>
      </c>
      <c r="Q1379" s="1001">
        <f t="shared" si="129"/>
        <v>7500</v>
      </c>
      <c r="R1379" s="1001">
        <f>N1379</f>
        <v>8</v>
      </c>
      <c r="S1379" s="1004"/>
      <c r="T1379" s="1004"/>
    </row>
    <row r="1380" spans="2:20" s="1003" customFormat="1" x14ac:dyDescent="0.25">
      <c r="B1380" s="1008" t="s">
        <v>383</v>
      </c>
      <c r="C1380" s="1000" t="s">
        <v>3297</v>
      </c>
      <c r="D1380" s="1025"/>
      <c r="E1380" s="1001"/>
      <c r="F1380" s="1039">
        <v>8</v>
      </c>
      <c r="G1380" s="1039">
        <v>4000</v>
      </c>
      <c r="H1380" s="1039">
        <v>8</v>
      </c>
      <c r="I1380" s="1039">
        <v>3000</v>
      </c>
      <c r="J1380" s="1039">
        <v>8</v>
      </c>
      <c r="K1380" s="1039">
        <v>6000</v>
      </c>
      <c r="L1380" s="1039">
        <v>8</v>
      </c>
      <c r="M1380" s="1039">
        <v>6500</v>
      </c>
      <c r="N1380" s="1039">
        <v>8</v>
      </c>
      <c r="O1380" s="1001">
        <v>7000</v>
      </c>
      <c r="P1380" s="1001">
        <v>8</v>
      </c>
      <c r="Q1380" s="1001">
        <v>7500</v>
      </c>
      <c r="R1380" s="1001"/>
      <c r="S1380" s="1004"/>
      <c r="T1380" s="1004"/>
    </row>
    <row r="1381" spans="2:20" s="1032" customFormat="1" x14ac:dyDescent="0.25">
      <c r="B1381" s="1027" t="s">
        <v>2651</v>
      </c>
      <c r="C1381" s="1033"/>
      <c r="D1381" s="1034"/>
      <c r="E1381" s="1033"/>
      <c r="F1381" s="1044"/>
      <c r="G1381" s="1045">
        <f>G1379+G1377+G1375+G1371+G1368+G1365+G1360+G1358+G1354+G1352+G1350+G1342+G1327+G1363</f>
        <v>253546</v>
      </c>
      <c r="H1381" s="1044"/>
      <c r="I1381" s="1045">
        <f>I1379+I1377+I1375+I1371+I1368+I1365+I1360+I1358+I1354+I1352+I1350+I1342+I1327+I1363</f>
        <v>250081</v>
      </c>
      <c r="J1381" s="1044"/>
      <c r="K1381" s="1045">
        <f>K1379+K1377+K1375+K1371+K1368+K1365+K1360+K1358+K1354+K1352+K1350+K1342+K1327+K1363</f>
        <v>315120</v>
      </c>
      <c r="L1381" s="1044"/>
      <c r="M1381" s="1045">
        <f>M1379+M1377+M1375+M1371+M1368+M1365+M1360+M1358+M1354+M1352+M1350+M1342+M1327+M1363</f>
        <v>328320</v>
      </c>
      <c r="N1381" s="1044"/>
      <c r="O1381" s="1045">
        <f>O1379+O1377+O1375+O1371+O1368+O1365+O1360+O1358+O1354+O1352+O1350+O1342+O1327+O1363</f>
        <v>350100</v>
      </c>
      <c r="P1381" s="1033"/>
      <c r="Q1381" s="1045">
        <f>Q1379+Q1377+Q1375+Q1371+Q1368+Q1365+Q1360+Q1358+Q1354+Q1352+Q1350+Q1342+Q1327+Q1363</f>
        <v>377700</v>
      </c>
      <c r="R1381" s="1033"/>
      <c r="S1381" s="1036"/>
      <c r="T1381" s="1036"/>
    </row>
    <row r="1382" spans="2:20" s="1003" customFormat="1" x14ac:dyDescent="0.25">
      <c r="B1382" s="1005"/>
      <c r="C1382" s="1100"/>
      <c r="D1382" s="1000"/>
      <c r="E1382" s="1001"/>
      <c r="F1382" s="1001"/>
      <c r="G1382" s="1001"/>
      <c r="H1382" s="1001"/>
      <c r="I1382" s="1001"/>
      <c r="J1382" s="1001"/>
      <c r="K1382" s="1001"/>
      <c r="L1382" s="1001"/>
      <c r="M1382" s="1001"/>
      <c r="N1382" s="1001"/>
      <c r="O1382" s="1001"/>
      <c r="P1382" s="1001"/>
      <c r="Q1382" s="1001"/>
      <c r="R1382" s="1001"/>
      <c r="S1382" s="1004"/>
      <c r="T1382" s="1004"/>
    </row>
    <row r="1383" spans="2:20" s="1003" customFormat="1" x14ac:dyDescent="0.25">
      <c r="B1383" s="1167" t="s">
        <v>3645</v>
      </c>
      <c r="C1383" s="1100"/>
      <c r="D1383" s="1000"/>
      <c r="E1383" s="1001"/>
      <c r="F1383" s="1001"/>
      <c r="G1383" s="1001"/>
      <c r="H1383" s="1001"/>
      <c r="I1383" s="1001"/>
      <c r="J1383" s="1001"/>
      <c r="K1383" s="1001"/>
      <c r="L1383" s="1001"/>
      <c r="M1383" s="1001"/>
      <c r="N1383" s="1001"/>
      <c r="O1383" s="1001"/>
      <c r="P1383" s="1001"/>
      <c r="Q1383" s="1001"/>
      <c r="R1383" s="1001"/>
      <c r="S1383" s="1004"/>
      <c r="T1383" s="1004"/>
    </row>
    <row r="1384" spans="2:20" s="1003" customFormat="1" ht="51" customHeight="1" x14ac:dyDescent="0.25">
      <c r="B1384" s="998"/>
      <c r="C1384" s="999" t="s">
        <v>3228</v>
      </c>
      <c r="D1384" s="1025" t="s">
        <v>19</v>
      </c>
      <c r="E1384" s="1001">
        <v>90</v>
      </c>
      <c r="F1384" s="1001">
        <v>93</v>
      </c>
      <c r="G1384" s="1001"/>
      <c r="H1384" s="1001">
        <v>94</v>
      </c>
      <c r="I1384" s="1001"/>
      <c r="J1384" s="1001">
        <v>95</v>
      </c>
      <c r="K1384" s="1001"/>
      <c r="L1384" s="1001">
        <v>96</v>
      </c>
      <c r="M1384" s="1001"/>
      <c r="N1384" s="1001">
        <v>97</v>
      </c>
      <c r="O1384" s="1001"/>
      <c r="P1384" s="1001">
        <v>98</v>
      </c>
      <c r="Q1384" s="1001"/>
      <c r="R1384" s="1001">
        <v>97</v>
      </c>
      <c r="S1384" s="1002"/>
      <c r="T1384" s="1002"/>
    </row>
    <row r="1385" spans="2:20" s="1003" customFormat="1" ht="63.75" x14ac:dyDescent="0.25">
      <c r="B1385" s="1106" t="s">
        <v>3229</v>
      </c>
      <c r="C1385" s="1000" t="s">
        <v>1488</v>
      </c>
      <c r="D1385" s="1025" t="s">
        <v>19</v>
      </c>
      <c r="E1385" s="1001">
        <v>100</v>
      </c>
      <c r="F1385" s="1001">
        <v>20</v>
      </c>
      <c r="G1385" s="1001">
        <f>SUM(G1386:G1398)</f>
        <v>93270</v>
      </c>
      <c r="H1385" s="1001">
        <v>20</v>
      </c>
      <c r="I1385" s="1001">
        <f>SUM(I1386:I1398)</f>
        <v>104615</v>
      </c>
      <c r="J1385" s="1001">
        <v>20</v>
      </c>
      <c r="K1385" s="1001">
        <f>SUM(K1386:K1398)</f>
        <v>121300</v>
      </c>
      <c r="L1385" s="1001">
        <v>20</v>
      </c>
      <c r="M1385" s="1001">
        <f>SUM(M1386:M1398)</f>
        <v>140000</v>
      </c>
      <c r="N1385" s="1001">
        <v>20</v>
      </c>
      <c r="O1385" s="1001">
        <f>SUM(O1386:O1398)</f>
        <v>159700</v>
      </c>
      <c r="P1385" s="1001">
        <v>20</v>
      </c>
      <c r="Q1385" s="1001">
        <f>SUM(Q1386:Q1398)</f>
        <v>177750</v>
      </c>
      <c r="R1385" s="1001">
        <v>100</v>
      </c>
      <c r="S1385" s="1004"/>
      <c r="T1385" s="1004"/>
    </row>
    <row r="1386" spans="2:20" s="1003" customFormat="1" ht="25.5" x14ac:dyDescent="0.25">
      <c r="B1386" s="998" t="s">
        <v>124</v>
      </c>
      <c r="C1386" s="1100" t="s">
        <v>3230</v>
      </c>
      <c r="D1386" s="1025" t="s">
        <v>40</v>
      </c>
      <c r="E1386" s="1001"/>
      <c r="F1386" s="1001">
        <v>12</v>
      </c>
      <c r="G1386" s="1001">
        <v>1000</v>
      </c>
      <c r="H1386" s="1001">
        <v>12</v>
      </c>
      <c r="I1386" s="1001">
        <v>1250</v>
      </c>
      <c r="J1386" s="1001">
        <v>12</v>
      </c>
      <c r="K1386" s="1001">
        <v>1500</v>
      </c>
      <c r="L1386" s="1001">
        <v>12</v>
      </c>
      <c r="M1386" s="1001">
        <v>1750</v>
      </c>
      <c r="N1386" s="1001">
        <v>12</v>
      </c>
      <c r="O1386" s="1001">
        <v>2000</v>
      </c>
      <c r="P1386" s="1001">
        <v>12</v>
      </c>
      <c r="Q1386" s="1001">
        <v>2250</v>
      </c>
      <c r="R1386" s="1001"/>
      <c r="S1386" s="1004"/>
      <c r="T1386" s="1004"/>
    </row>
    <row r="1387" spans="2:20" s="1003" customFormat="1" ht="51" x14ac:dyDescent="0.25">
      <c r="B1387" s="1005" t="s">
        <v>126</v>
      </c>
      <c r="C1387" s="1100" t="s">
        <v>2518</v>
      </c>
      <c r="D1387" s="1025" t="s">
        <v>40</v>
      </c>
      <c r="E1387" s="1001"/>
      <c r="F1387" s="1001">
        <v>12</v>
      </c>
      <c r="G1387" s="1001">
        <v>10000</v>
      </c>
      <c r="H1387" s="1001">
        <v>12</v>
      </c>
      <c r="I1387" s="1001">
        <v>11000</v>
      </c>
      <c r="J1387" s="1001">
        <v>12</v>
      </c>
      <c r="K1387" s="1001">
        <v>15000</v>
      </c>
      <c r="L1387" s="1001">
        <v>12</v>
      </c>
      <c r="M1387" s="1001">
        <v>17000</v>
      </c>
      <c r="N1387" s="1001">
        <v>12</v>
      </c>
      <c r="O1387" s="1001">
        <v>20000</v>
      </c>
      <c r="P1387" s="1001">
        <v>12</v>
      </c>
      <c r="Q1387" s="1001">
        <v>22000</v>
      </c>
      <c r="R1387" s="1001"/>
      <c r="S1387" s="1004"/>
      <c r="T1387" s="1004"/>
    </row>
    <row r="1388" spans="2:20" s="1003" customFormat="1" ht="76.5" x14ac:dyDescent="0.25">
      <c r="B1388" s="1005" t="s">
        <v>3231</v>
      </c>
      <c r="C1388" s="1100" t="s">
        <v>2519</v>
      </c>
      <c r="D1388" s="1025" t="s">
        <v>40</v>
      </c>
      <c r="E1388" s="1001"/>
      <c r="F1388" s="1001">
        <v>12</v>
      </c>
      <c r="G1388" s="1001">
        <v>25000</v>
      </c>
      <c r="H1388" s="1001">
        <v>12</v>
      </c>
      <c r="I1388" s="1001">
        <v>26500</v>
      </c>
      <c r="J1388" s="1001">
        <v>12</v>
      </c>
      <c r="K1388" s="1001">
        <v>27000</v>
      </c>
      <c r="L1388" s="1001">
        <v>12</v>
      </c>
      <c r="M1388" s="1001">
        <v>29000</v>
      </c>
      <c r="N1388" s="1001">
        <v>12</v>
      </c>
      <c r="O1388" s="1001">
        <v>30000</v>
      </c>
      <c r="P1388" s="1001">
        <v>12</v>
      </c>
      <c r="Q1388" s="1001">
        <v>32000</v>
      </c>
      <c r="R1388" s="1001"/>
      <c r="S1388" s="1004"/>
      <c r="T1388" s="1004"/>
    </row>
    <row r="1389" spans="2:20" s="1003" customFormat="1" ht="38.25" x14ac:dyDescent="0.25">
      <c r="B1389" s="1005" t="s">
        <v>45</v>
      </c>
      <c r="C1389" s="1100" t="s">
        <v>2520</v>
      </c>
      <c r="D1389" s="1025" t="s">
        <v>40</v>
      </c>
      <c r="E1389" s="1001"/>
      <c r="F1389" s="1001">
        <v>12</v>
      </c>
      <c r="G1389" s="1001">
        <v>15000</v>
      </c>
      <c r="H1389" s="1001">
        <v>12</v>
      </c>
      <c r="I1389" s="1001">
        <v>17500</v>
      </c>
      <c r="J1389" s="1001">
        <v>12</v>
      </c>
      <c r="K1389" s="1001">
        <v>20000</v>
      </c>
      <c r="L1389" s="1001">
        <v>12</v>
      </c>
      <c r="M1389" s="1001">
        <v>22500</v>
      </c>
      <c r="N1389" s="1001">
        <v>12</v>
      </c>
      <c r="O1389" s="1001">
        <v>25000</v>
      </c>
      <c r="P1389" s="1001">
        <v>12</v>
      </c>
      <c r="Q1389" s="1001">
        <v>27500</v>
      </c>
      <c r="R1389" s="1001"/>
      <c r="S1389" s="1004"/>
      <c r="T1389" s="1004"/>
    </row>
    <row r="1390" spans="2:20" s="1003" customFormat="1" ht="38.25" x14ac:dyDescent="0.25">
      <c r="B1390" s="1005" t="s">
        <v>47</v>
      </c>
      <c r="C1390" s="1100" t="s">
        <v>2521</v>
      </c>
      <c r="D1390" s="1025" t="s">
        <v>40</v>
      </c>
      <c r="E1390" s="1001"/>
      <c r="F1390" s="1001">
        <v>12</v>
      </c>
      <c r="G1390" s="1001">
        <v>1500</v>
      </c>
      <c r="H1390" s="1001">
        <v>12</v>
      </c>
      <c r="I1390" s="1001">
        <v>3000</v>
      </c>
      <c r="J1390" s="1001">
        <v>12</v>
      </c>
      <c r="K1390" s="1001">
        <v>4000</v>
      </c>
      <c r="L1390" s="1001">
        <v>12</v>
      </c>
      <c r="M1390" s="1001">
        <v>6000</v>
      </c>
      <c r="N1390" s="1001">
        <v>12</v>
      </c>
      <c r="O1390" s="1001">
        <v>8000</v>
      </c>
      <c r="P1390" s="1001">
        <v>12</v>
      </c>
      <c r="Q1390" s="1001">
        <v>10000</v>
      </c>
      <c r="R1390" s="1001"/>
      <c r="S1390" s="1004"/>
      <c r="T1390" s="1004"/>
    </row>
    <row r="1391" spans="2:20" s="1003" customFormat="1" ht="51" x14ac:dyDescent="0.25">
      <c r="B1391" s="1005" t="s">
        <v>923</v>
      </c>
      <c r="C1391" s="1100" t="s">
        <v>2522</v>
      </c>
      <c r="D1391" s="1025" t="s">
        <v>40</v>
      </c>
      <c r="E1391" s="1001"/>
      <c r="F1391" s="1001">
        <v>12</v>
      </c>
      <c r="G1391" s="1001">
        <v>3000</v>
      </c>
      <c r="H1391" s="1001">
        <v>12</v>
      </c>
      <c r="I1391" s="1001">
        <v>3000</v>
      </c>
      <c r="J1391" s="1001">
        <v>12</v>
      </c>
      <c r="K1391" s="1001">
        <v>4000</v>
      </c>
      <c r="L1391" s="1001">
        <v>12</v>
      </c>
      <c r="M1391" s="1001">
        <v>5500</v>
      </c>
      <c r="N1391" s="1001">
        <v>12</v>
      </c>
      <c r="O1391" s="1001">
        <v>6500</v>
      </c>
      <c r="P1391" s="1001">
        <v>12</v>
      </c>
      <c r="Q1391" s="1001">
        <v>7500</v>
      </c>
      <c r="R1391" s="1001"/>
      <c r="S1391" s="1004"/>
      <c r="T1391" s="1004"/>
    </row>
    <row r="1392" spans="2:20" s="1003" customFormat="1" ht="38.25" x14ac:dyDescent="0.25">
      <c r="B1392" s="1005" t="s">
        <v>50</v>
      </c>
      <c r="C1392" s="1100" t="s">
        <v>2523</v>
      </c>
      <c r="D1392" s="1025" t="s">
        <v>40</v>
      </c>
      <c r="E1392" s="1001"/>
      <c r="F1392" s="1001">
        <v>12</v>
      </c>
      <c r="G1392" s="1001">
        <v>7020</v>
      </c>
      <c r="H1392" s="1001">
        <v>12</v>
      </c>
      <c r="I1392" s="1001">
        <v>7015</v>
      </c>
      <c r="J1392" s="1001">
        <v>12</v>
      </c>
      <c r="K1392" s="1001">
        <v>8000</v>
      </c>
      <c r="L1392" s="1001">
        <v>12</v>
      </c>
      <c r="M1392" s="1001">
        <v>11000</v>
      </c>
      <c r="N1392" s="1001">
        <v>12</v>
      </c>
      <c r="O1392" s="1001">
        <v>15000</v>
      </c>
      <c r="P1392" s="1001">
        <v>12</v>
      </c>
      <c r="Q1392" s="1001">
        <v>17000</v>
      </c>
      <c r="R1392" s="1001"/>
      <c r="S1392" s="1004"/>
      <c r="T1392" s="1004"/>
    </row>
    <row r="1393" spans="2:20" s="1003" customFormat="1" ht="51" x14ac:dyDescent="0.25">
      <c r="B1393" s="1005" t="s">
        <v>52</v>
      </c>
      <c r="C1393" s="1100" t="s">
        <v>2524</v>
      </c>
      <c r="D1393" s="1025" t="s">
        <v>40</v>
      </c>
      <c r="E1393" s="1001"/>
      <c r="F1393" s="1001">
        <v>12</v>
      </c>
      <c r="G1393" s="1001">
        <v>5000</v>
      </c>
      <c r="H1393" s="1001">
        <v>12</v>
      </c>
      <c r="I1393" s="1001">
        <v>5000</v>
      </c>
      <c r="J1393" s="1001">
        <v>12</v>
      </c>
      <c r="K1393" s="1001">
        <v>6000</v>
      </c>
      <c r="L1393" s="1001">
        <v>12</v>
      </c>
      <c r="M1393" s="1001">
        <v>6500</v>
      </c>
      <c r="N1393" s="1001">
        <v>12</v>
      </c>
      <c r="O1393" s="1001">
        <v>7000</v>
      </c>
      <c r="P1393" s="1001">
        <v>12</v>
      </c>
      <c r="Q1393" s="1001">
        <v>7500</v>
      </c>
      <c r="R1393" s="1001"/>
      <c r="S1393" s="1004"/>
      <c r="T1393" s="1004"/>
    </row>
    <row r="1394" spans="2:20" s="1003" customFormat="1" ht="76.5" x14ac:dyDescent="0.25">
      <c r="B1394" s="1005" t="s">
        <v>782</v>
      </c>
      <c r="C1394" s="1100" t="s">
        <v>2525</v>
      </c>
      <c r="D1394" s="1025" t="s">
        <v>40</v>
      </c>
      <c r="E1394" s="1001"/>
      <c r="F1394" s="1001">
        <v>12</v>
      </c>
      <c r="G1394" s="1001">
        <v>1250</v>
      </c>
      <c r="H1394" s="1001">
        <v>12</v>
      </c>
      <c r="I1394" s="1001">
        <v>1150</v>
      </c>
      <c r="J1394" s="1001">
        <v>12</v>
      </c>
      <c r="K1394" s="1001">
        <v>1500</v>
      </c>
      <c r="L1394" s="1001">
        <v>12</v>
      </c>
      <c r="M1394" s="1001">
        <v>1750</v>
      </c>
      <c r="N1394" s="1001">
        <v>12</v>
      </c>
      <c r="O1394" s="1001">
        <v>2000</v>
      </c>
      <c r="P1394" s="1001">
        <v>12</v>
      </c>
      <c r="Q1394" s="1001">
        <v>2500</v>
      </c>
      <c r="R1394" s="1001"/>
      <c r="S1394" s="1004"/>
      <c r="T1394" s="1004"/>
    </row>
    <row r="1395" spans="2:20" s="1003" customFormat="1" ht="63.75" x14ac:dyDescent="0.25">
      <c r="B1395" s="1005" t="s">
        <v>3232</v>
      </c>
      <c r="C1395" s="1100" t="s">
        <v>2526</v>
      </c>
      <c r="D1395" s="1025" t="s">
        <v>40</v>
      </c>
      <c r="E1395" s="1001"/>
      <c r="F1395" s="1001">
        <v>12</v>
      </c>
      <c r="G1395" s="1001">
        <v>1500</v>
      </c>
      <c r="H1395" s="1001">
        <v>12</v>
      </c>
      <c r="I1395" s="1001">
        <v>1200</v>
      </c>
      <c r="J1395" s="1001">
        <v>12</v>
      </c>
      <c r="K1395" s="1001">
        <v>1800</v>
      </c>
      <c r="L1395" s="1001">
        <v>12</v>
      </c>
      <c r="M1395" s="1001">
        <v>2000</v>
      </c>
      <c r="N1395" s="1001">
        <v>12</v>
      </c>
      <c r="O1395" s="1001">
        <v>2200</v>
      </c>
      <c r="P1395" s="1001">
        <v>12</v>
      </c>
      <c r="Q1395" s="1001">
        <v>2500</v>
      </c>
      <c r="R1395" s="1001"/>
      <c r="S1395" s="1004"/>
      <c r="T1395" s="1004"/>
    </row>
    <row r="1396" spans="2:20" s="1003" customFormat="1" ht="38.25" x14ac:dyDescent="0.25">
      <c r="B1396" s="1005" t="s">
        <v>58</v>
      </c>
      <c r="C1396" s="1100" t="s">
        <v>2527</v>
      </c>
      <c r="D1396" s="1025" t="s">
        <v>40</v>
      </c>
      <c r="E1396" s="1001"/>
      <c r="F1396" s="1001">
        <v>12</v>
      </c>
      <c r="G1396" s="1001">
        <v>9000</v>
      </c>
      <c r="H1396" s="1001">
        <v>12</v>
      </c>
      <c r="I1396" s="1001">
        <v>11000</v>
      </c>
      <c r="J1396" s="1001">
        <v>12</v>
      </c>
      <c r="K1396" s="1001">
        <v>13000</v>
      </c>
      <c r="L1396" s="1001">
        <v>12</v>
      </c>
      <c r="M1396" s="1001">
        <v>15000</v>
      </c>
      <c r="N1396" s="1001">
        <v>12</v>
      </c>
      <c r="O1396" s="1001">
        <v>17000</v>
      </c>
      <c r="P1396" s="1001">
        <v>12</v>
      </c>
      <c r="Q1396" s="1001">
        <v>19000</v>
      </c>
      <c r="R1396" s="1001"/>
      <c r="S1396" s="1004"/>
      <c r="T1396" s="1004"/>
    </row>
    <row r="1397" spans="2:20" s="1003" customFormat="1" ht="51" x14ac:dyDescent="0.25">
      <c r="B1397" s="1005" t="s">
        <v>3233</v>
      </c>
      <c r="C1397" s="1100" t="s">
        <v>2529</v>
      </c>
      <c r="D1397" s="1025" t="s">
        <v>40</v>
      </c>
      <c r="E1397" s="1001"/>
      <c r="F1397" s="1001">
        <v>12</v>
      </c>
      <c r="G1397" s="1001">
        <v>14000</v>
      </c>
      <c r="H1397" s="1001">
        <v>12</v>
      </c>
      <c r="I1397" s="1001">
        <v>14000</v>
      </c>
      <c r="J1397" s="1001">
        <v>12</v>
      </c>
      <c r="K1397" s="1001">
        <v>15500</v>
      </c>
      <c r="L1397" s="1001">
        <v>12</v>
      </c>
      <c r="M1397" s="1001">
        <v>17000</v>
      </c>
      <c r="N1397" s="1001">
        <v>12</v>
      </c>
      <c r="O1397" s="1001">
        <v>19000</v>
      </c>
      <c r="P1397" s="1001">
        <v>12</v>
      </c>
      <c r="Q1397" s="1001">
        <v>21000</v>
      </c>
      <c r="R1397" s="1001"/>
      <c r="S1397" s="1004"/>
      <c r="T1397" s="1004"/>
    </row>
    <row r="1398" spans="2:20" s="1003" customFormat="1" ht="51" x14ac:dyDescent="0.25">
      <c r="B1398" s="1102" t="s">
        <v>137</v>
      </c>
      <c r="C1398" s="1100" t="s">
        <v>2528</v>
      </c>
      <c r="D1398" s="1025" t="s">
        <v>40</v>
      </c>
      <c r="E1398" s="1001"/>
      <c r="F1398" s="1001"/>
      <c r="G1398" s="1001"/>
      <c r="H1398" s="1001">
        <v>12</v>
      </c>
      <c r="I1398" s="1001">
        <v>3000</v>
      </c>
      <c r="J1398" s="1001">
        <v>12</v>
      </c>
      <c r="K1398" s="1001">
        <v>4000</v>
      </c>
      <c r="L1398" s="1001">
        <v>12</v>
      </c>
      <c r="M1398" s="1001">
        <v>5000</v>
      </c>
      <c r="N1398" s="1001">
        <v>12</v>
      </c>
      <c r="O1398" s="1001">
        <v>6000</v>
      </c>
      <c r="P1398" s="1001">
        <v>12</v>
      </c>
      <c r="Q1398" s="1001">
        <v>7000</v>
      </c>
      <c r="R1398" s="1001"/>
      <c r="S1398" s="1004"/>
      <c r="T1398" s="1004"/>
    </row>
    <row r="1399" spans="2:20" s="1003" customFormat="1" ht="38.25" customHeight="1" x14ac:dyDescent="0.25">
      <c r="B1399" s="1061" t="s">
        <v>65</v>
      </c>
      <c r="C1399" s="999" t="s">
        <v>3234</v>
      </c>
      <c r="D1399" s="1015" t="s">
        <v>19</v>
      </c>
      <c r="E1399" s="1001">
        <v>70</v>
      </c>
      <c r="F1399" s="1001">
        <v>3</v>
      </c>
      <c r="G1399" s="2114">
        <f>SUM(G1401:G1412)</f>
        <v>37000</v>
      </c>
      <c r="H1399" s="1001">
        <v>3</v>
      </c>
      <c r="I1399" s="2114">
        <f>SUM(I1401:I1412)</f>
        <v>19000</v>
      </c>
      <c r="J1399" s="1001">
        <v>3</v>
      </c>
      <c r="K1399" s="2114">
        <f>SUM(K1401:K1412)</f>
        <v>60000</v>
      </c>
      <c r="L1399" s="1001">
        <v>3</v>
      </c>
      <c r="M1399" s="2114">
        <f>SUM(M1401:M1412)</f>
        <v>99000</v>
      </c>
      <c r="N1399" s="1001">
        <v>3</v>
      </c>
      <c r="O1399" s="2114">
        <f>SUM(O1401:O1412)</f>
        <v>127500</v>
      </c>
      <c r="P1399" s="1001">
        <v>3</v>
      </c>
      <c r="Q1399" s="2114">
        <f>SUM(Q1401:Q1412)</f>
        <v>128000</v>
      </c>
      <c r="R1399" s="1001">
        <f>E1399+F1399+H1399+J1399+L1399+N1399</f>
        <v>85</v>
      </c>
      <c r="S1399" s="1004"/>
      <c r="T1399" s="1004"/>
    </row>
    <row r="1400" spans="2:20" s="1003" customFormat="1" ht="38.25" x14ac:dyDescent="0.25">
      <c r="B1400" s="1067"/>
      <c r="C1400" s="999" t="s">
        <v>3235</v>
      </c>
      <c r="D1400" s="1015" t="s">
        <v>19</v>
      </c>
      <c r="E1400" s="1001">
        <v>100</v>
      </c>
      <c r="F1400" s="1001">
        <v>100</v>
      </c>
      <c r="G1400" s="2114"/>
      <c r="H1400" s="1001">
        <v>100</v>
      </c>
      <c r="I1400" s="2114"/>
      <c r="J1400" s="1001">
        <v>100</v>
      </c>
      <c r="K1400" s="2114"/>
      <c r="L1400" s="1001">
        <v>100</v>
      </c>
      <c r="M1400" s="2114"/>
      <c r="N1400" s="1001">
        <v>100</v>
      </c>
      <c r="O1400" s="2114"/>
      <c r="P1400" s="1001">
        <v>100</v>
      </c>
      <c r="Q1400" s="2114"/>
      <c r="R1400" s="1001">
        <v>100</v>
      </c>
      <c r="S1400" s="1004"/>
      <c r="T1400" s="1004"/>
    </row>
    <row r="1401" spans="2:20" s="1003" customFormat="1" ht="38.25" x14ac:dyDescent="0.25">
      <c r="B1401" s="1007" t="s">
        <v>144</v>
      </c>
      <c r="C1401" s="999" t="s">
        <v>3408</v>
      </c>
      <c r="D1401" s="1015" t="s">
        <v>69</v>
      </c>
      <c r="E1401" s="1001"/>
      <c r="F1401" s="1001">
        <v>2</v>
      </c>
      <c r="G1401" s="1001"/>
      <c r="H1401" s="1001">
        <v>2</v>
      </c>
      <c r="I1401" s="1001"/>
      <c r="J1401" s="1001">
        <v>2</v>
      </c>
      <c r="K1401" s="1001"/>
      <c r="L1401" s="1001">
        <v>3</v>
      </c>
      <c r="M1401" s="1001"/>
      <c r="N1401" s="1001">
        <v>3</v>
      </c>
      <c r="O1401" s="1001"/>
      <c r="P1401" s="1001">
        <v>3</v>
      </c>
      <c r="Q1401" s="1001"/>
      <c r="R1401" s="1001"/>
      <c r="S1401" s="1004"/>
      <c r="T1401" s="1004"/>
    </row>
    <row r="1402" spans="2:20" s="1003" customFormat="1" ht="51" x14ac:dyDescent="0.25">
      <c r="B1402" s="1007" t="s">
        <v>3646</v>
      </c>
      <c r="C1402" s="999" t="s">
        <v>3646</v>
      </c>
      <c r="D1402" s="1025" t="s">
        <v>75</v>
      </c>
      <c r="E1402" s="1001"/>
      <c r="F1402" s="1001"/>
      <c r="G1402" s="1001"/>
      <c r="H1402" s="1001"/>
      <c r="I1402" s="1001"/>
      <c r="J1402" s="1001"/>
      <c r="K1402" s="1001"/>
      <c r="L1402" s="1001">
        <v>2</v>
      </c>
      <c r="M1402" s="1001">
        <v>40000</v>
      </c>
      <c r="N1402" s="1001">
        <v>2</v>
      </c>
      <c r="O1402" s="1001">
        <v>50000</v>
      </c>
      <c r="P1402" s="1001">
        <v>2</v>
      </c>
      <c r="Q1402" s="1001">
        <v>60000</v>
      </c>
      <c r="R1402" s="1001"/>
      <c r="S1402" s="1004"/>
      <c r="T1402" s="1004"/>
    </row>
    <row r="1403" spans="2:20" s="1003" customFormat="1" ht="25.5" x14ac:dyDescent="0.25">
      <c r="B1403" s="998" t="s">
        <v>3236</v>
      </c>
      <c r="C1403" s="1000" t="s">
        <v>3647</v>
      </c>
      <c r="D1403" s="1025" t="s">
        <v>75</v>
      </c>
      <c r="E1403" s="1001"/>
      <c r="F1403" s="1001">
        <v>25</v>
      </c>
      <c r="G1403" s="1001">
        <v>13500</v>
      </c>
      <c r="H1403" s="1001">
        <v>3</v>
      </c>
      <c r="I1403" s="1001">
        <v>3000</v>
      </c>
      <c r="J1403" s="1001">
        <v>25</v>
      </c>
      <c r="K1403" s="1001">
        <v>12500</v>
      </c>
      <c r="L1403" s="1001">
        <v>4</v>
      </c>
      <c r="M1403" s="1001">
        <v>16000</v>
      </c>
      <c r="N1403" s="1001">
        <v>3</v>
      </c>
      <c r="O1403" s="1001">
        <v>15000</v>
      </c>
      <c r="P1403" s="1001">
        <v>20</v>
      </c>
      <c r="Q1403" s="1001">
        <v>10000</v>
      </c>
      <c r="R1403" s="1001"/>
      <c r="S1403" s="1004"/>
      <c r="T1403" s="1004"/>
    </row>
    <row r="1404" spans="2:20" s="1003" customFormat="1" ht="25.5" x14ac:dyDescent="0.25">
      <c r="B1404" s="998" t="s">
        <v>3238</v>
      </c>
      <c r="C1404" s="1000" t="s">
        <v>3239</v>
      </c>
      <c r="D1404" s="1025"/>
      <c r="E1404" s="1001"/>
      <c r="F1404" s="1001"/>
      <c r="G1404" s="1001"/>
      <c r="H1404" s="1001"/>
      <c r="I1404" s="1001"/>
      <c r="J1404" s="1001"/>
      <c r="K1404" s="1001"/>
      <c r="L1404" s="1001"/>
      <c r="M1404" s="1001"/>
      <c r="N1404" s="1001"/>
      <c r="O1404" s="1001"/>
      <c r="P1404" s="1001"/>
      <c r="Q1404" s="1001"/>
      <c r="R1404" s="1001"/>
      <c r="S1404" s="1004"/>
      <c r="T1404" s="1004"/>
    </row>
    <row r="1405" spans="2:20" s="1003" customFormat="1" x14ac:dyDescent="0.25">
      <c r="B1405" s="998"/>
      <c r="C1405" s="1000" t="s">
        <v>3495</v>
      </c>
      <c r="D1405" s="1025" t="s">
        <v>251</v>
      </c>
      <c r="E1405" s="1001"/>
      <c r="F1405" s="1001">
        <v>2</v>
      </c>
      <c r="G1405" s="1001">
        <v>6500</v>
      </c>
      <c r="H1405" s="1001"/>
      <c r="I1405" s="1001"/>
      <c r="J1405" s="1001">
        <v>1</v>
      </c>
      <c r="K1405" s="1001">
        <v>5000</v>
      </c>
      <c r="L1405" s="1001">
        <v>1</v>
      </c>
      <c r="M1405" s="1001">
        <v>7000</v>
      </c>
      <c r="N1405" s="1001">
        <v>1</v>
      </c>
      <c r="O1405" s="1001">
        <v>8000</v>
      </c>
      <c r="P1405" s="1001">
        <v>1</v>
      </c>
      <c r="Q1405" s="1001">
        <v>9000</v>
      </c>
      <c r="R1405" s="1001"/>
      <c r="S1405" s="1004"/>
      <c r="T1405" s="1004"/>
    </row>
    <row r="1406" spans="2:20" s="1003" customFormat="1" ht="25.5" x14ac:dyDescent="0.25">
      <c r="B1406" s="998"/>
      <c r="C1406" s="1000" t="s">
        <v>3648</v>
      </c>
      <c r="D1406" s="1025" t="s">
        <v>251</v>
      </c>
      <c r="E1406" s="1001"/>
      <c r="F1406" s="1001">
        <v>2</v>
      </c>
      <c r="G1406" s="1001">
        <v>14000</v>
      </c>
      <c r="H1406" s="1001"/>
      <c r="I1406" s="1001"/>
      <c r="J1406" s="1001">
        <v>2</v>
      </c>
      <c r="K1406" s="1001">
        <v>13500</v>
      </c>
      <c r="L1406" s="1001">
        <v>3</v>
      </c>
      <c r="M1406" s="1001">
        <v>20000</v>
      </c>
      <c r="N1406" s="1001">
        <v>3</v>
      </c>
      <c r="O1406" s="1001">
        <v>22000</v>
      </c>
      <c r="P1406" s="1001">
        <v>3</v>
      </c>
      <c r="Q1406" s="1001">
        <v>23000</v>
      </c>
      <c r="R1406" s="1001"/>
      <c r="S1406" s="1004"/>
      <c r="T1406" s="1004"/>
    </row>
    <row r="1407" spans="2:20" s="1003" customFormat="1" ht="51" x14ac:dyDescent="0.25">
      <c r="B1407" s="998"/>
      <c r="C1407" s="1021" t="s">
        <v>3649</v>
      </c>
      <c r="D1407" s="1025" t="s">
        <v>251</v>
      </c>
      <c r="E1407" s="1001"/>
      <c r="F1407" s="1001"/>
      <c r="G1407" s="1001"/>
      <c r="H1407" s="1001">
        <v>1</v>
      </c>
      <c r="I1407" s="1001">
        <v>16000</v>
      </c>
      <c r="J1407" s="1001">
        <v>1</v>
      </c>
      <c r="K1407" s="1001">
        <v>12000</v>
      </c>
      <c r="L1407" s="1001"/>
      <c r="M1407" s="1001"/>
      <c r="N1407" s="1001"/>
      <c r="O1407" s="1001"/>
      <c r="P1407" s="1001"/>
      <c r="Q1407" s="1001"/>
      <c r="R1407" s="1001"/>
      <c r="S1407" s="1004"/>
      <c r="T1407" s="1004"/>
    </row>
    <row r="1408" spans="2:20" s="1003" customFormat="1" x14ac:dyDescent="0.25">
      <c r="B1408" s="998"/>
      <c r="C1408" s="1021" t="s">
        <v>3650</v>
      </c>
      <c r="D1408" s="1025"/>
      <c r="E1408" s="1001"/>
      <c r="F1408" s="1001"/>
      <c r="G1408" s="1001"/>
      <c r="H1408" s="1001"/>
      <c r="I1408" s="1001"/>
      <c r="J1408" s="1001"/>
      <c r="K1408" s="1001"/>
      <c r="L1408" s="1001">
        <v>1</v>
      </c>
      <c r="M1408" s="1001">
        <v>10000</v>
      </c>
      <c r="N1408" s="1001">
        <v>1</v>
      </c>
      <c r="O1408" s="1001">
        <v>6000</v>
      </c>
      <c r="P1408" s="1001"/>
      <c r="Q1408" s="1001"/>
      <c r="R1408" s="1001"/>
      <c r="S1408" s="1004"/>
      <c r="T1408" s="1004"/>
    </row>
    <row r="1409" spans="2:20" s="1003" customFormat="1" x14ac:dyDescent="0.25">
      <c r="B1409" s="998"/>
      <c r="C1409" s="1021" t="s">
        <v>3651</v>
      </c>
      <c r="D1409" s="1025"/>
      <c r="E1409" s="1001"/>
      <c r="F1409" s="1001"/>
      <c r="G1409" s="1001"/>
      <c r="H1409" s="1001"/>
      <c r="I1409" s="1001"/>
      <c r="J1409" s="1001">
        <v>1</v>
      </c>
      <c r="K1409" s="1001">
        <v>2000</v>
      </c>
      <c r="L1409" s="1001"/>
      <c r="M1409" s="1001"/>
      <c r="N1409" s="1001">
        <v>1</v>
      </c>
      <c r="O1409" s="1001">
        <v>2500</v>
      </c>
      <c r="P1409" s="1001"/>
      <c r="Q1409" s="1001"/>
      <c r="R1409" s="1001"/>
      <c r="S1409" s="1004"/>
      <c r="T1409" s="1004"/>
    </row>
    <row r="1410" spans="2:20" s="1003" customFormat="1" ht="38.25" x14ac:dyDescent="0.25">
      <c r="B1410" s="1007" t="s">
        <v>3240</v>
      </c>
      <c r="C1410" s="999" t="s">
        <v>3241</v>
      </c>
      <c r="D1410" s="1015" t="s">
        <v>40</v>
      </c>
      <c r="E1410" s="1001"/>
      <c r="F1410" s="1001"/>
      <c r="G1410" s="1001"/>
      <c r="H1410" s="1001"/>
      <c r="I1410" s="1001"/>
      <c r="J1410" s="1001">
        <v>12</v>
      </c>
      <c r="K1410" s="1001">
        <v>4000</v>
      </c>
      <c r="L1410" s="1001"/>
      <c r="M1410" s="1001"/>
      <c r="N1410" s="1001">
        <v>12</v>
      </c>
      <c r="O1410" s="1001">
        <v>7000</v>
      </c>
      <c r="P1410" s="1001">
        <v>12</v>
      </c>
      <c r="Q1410" s="1001">
        <v>7000</v>
      </c>
      <c r="R1410" s="1001"/>
      <c r="S1410" s="1004"/>
      <c r="T1410" s="1004"/>
    </row>
    <row r="1411" spans="2:20" s="1003" customFormat="1" ht="38.25" x14ac:dyDescent="0.25">
      <c r="B1411" s="1007" t="s">
        <v>3242</v>
      </c>
      <c r="C1411" s="999" t="s">
        <v>3160</v>
      </c>
      <c r="D1411" s="1015" t="s">
        <v>40</v>
      </c>
      <c r="E1411" s="1001"/>
      <c r="F1411" s="1001"/>
      <c r="G1411" s="1001"/>
      <c r="H1411" s="1001"/>
      <c r="I1411" s="1001"/>
      <c r="J1411" s="1001">
        <v>12</v>
      </c>
      <c r="K1411" s="1001">
        <v>6000</v>
      </c>
      <c r="L1411" s="1001"/>
      <c r="M1411" s="1001"/>
      <c r="N1411" s="1001">
        <v>12</v>
      </c>
      <c r="O1411" s="1001">
        <v>10000</v>
      </c>
      <c r="P1411" s="1001">
        <v>12</v>
      </c>
      <c r="Q1411" s="1001">
        <v>12000</v>
      </c>
      <c r="R1411" s="1001"/>
      <c r="S1411" s="1004"/>
      <c r="T1411" s="1004"/>
    </row>
    <row r="1412" spans="2:20" s="1003" customFormat="1" ht="38.25" x14ac:dyDescent="0.25">
      <c r="B1412" s="1007" t="s">
        <v>3243</v>
      </c>
      <c r="C1412" s="999" t="s">
        <v>3244</v>
      </c>
      <c r="D1412" s="1015" t="s">
        <v>40</v>
      </c>
      <c r="E1412" s="1001"/>
      <c r="F1412" s="1001">
        <v>12</v>
      </c>
      <c r="G1412" s="1001">
        <v>3000</v>
      </c>
      <c r="H1412" s="1001"/>
      <c r="I1412" s="1001"/>
      <c r="J1412" s="1001">
        <v>12</v>
      </c>
      <c r="K1412" s="1001">
        <v>5000</v>
      </c>
      <c r="L1412" s="1001">
        <v>12</v>
      </c>
      <c r="M1412" s="1001">
        <v>6000</v>
      </c>
      <c r="N1412" s="1001">
        <v>12</v>
      </c>
      <c r="O1412" s="1001">
        <v>7000</v>
      </c>
      <c r="P1412" s="1001">
        <v>12</v>
      </c>
      <c r="Q1412" s="1001">
        <v>7000</v>
      </c>
      <c r="R1412" s="1001"/>
      <c r="S1412" s="1004"/>
      <c r="T1412" s="1004"/>
    </row>
    <row r="1413" spans="2:20" s="1003" customFormat="1" ht="63.75" x14ac:dyDescent="0.25">
      <c r="B1413" s="1106" t="s">
        <v>3245</v>
      </c>
      <c r="C1413" s="1000" t="s">
        <v>3246</v>
      </c>
      <c r="D1413" s="1025" t="s">
        <v>79</v>
      </c>
      <c r="E1413" s="1001">
        <v>10</v>
      </c>
      <c r="F1413" s="1001">
        <f>F1414</f>
        <v>2</v>
      </c>
      <c r="G1413" s="1001">
        <f>G1414</f>
        <v>2200</v>
      </c>
      <c r="H1413" s="1001">
        <f t="shared" ref="H1413:Q1413" si="130">H1414</f>
        <v>2</v>
      </c>
      <c r="I1413" s="1001">
        <f t="shared" si="130"/>
        <v>4000</v>
      </c>
      <c r="J1413" s="1001">
        <f t="shared" si="130"/>
        <v>2</v>
      </c>
      <c r="K1413" s="1001">
        <f t="shared" si="130"/>
        <v>5500</v>
      </c>
      <c r="L1413" s="1001">
        <f t="shared" si="130"/>
        <v>2</v>
      </c>
      <c r="M1413" s="1001">
        <f t="shared" si="130"/>
        <v>7000</v>
      </c>
      <c r="N1413" s="1001">
        <f t="shared" si="130"/>
        <v>2</v>
      </c>
      <c r="O1413" s="1001">
        <f t="shared" si="130"/>
        <v>8500</v>
      </c>
      <c r="P1413" s="1001">
        <f t="shared" si="130"/>
        <v>2</v>
      </c>
      <c r="Q1413" s="1001">
        <f t="shared" si="130"/>
        <v>10000</v>
      </c>
      <c r="R1413" s="1001">
        <f>E1413+F1413+H1413+J1413+L1413+N1413</f>
        <v>20</v>
      </c>
      <c r="S1413" s="1004"/>
      <c r="T1413" s="1004"/>
    </row>
    <row r="1414" spans="2:20" s="1003" customFormat="1" ht="102" x14ac:dyDescent="0.25">
      <c r="B1414" s="998" t="s">
        <v>80</v>
      </c>
      <c r="C1414" s="1000" t="s">
        <v>3247</v>
      </c>
      <c r="D1414" s="1025" t="s">
        <v>79</v>
      </c>
      <c r="E1414" s="1001"/>
      <c r="F1414" s="1001">
        <v>2</v>
      </c>
      <c r="G1414" s="1001">
        <v>2200</v>
      </c>
      <c r="H1414" s="1001">
        <v>2</v>
      </c>
      <c r="I1414" s="1001">
        <v>4000</v>
      </c>
      <c r="J1414" s="1001">
        <v>2</v>
      </c>
      <c r="K1414" s="1001">
        <v>5500</v>
      </c>
      <c r="L1414" s="1001">
        <v>2</v>
      </c>
      <c r="M1414" s="1001">
        <v>7000</v>
      </c>
      <c r="N1414" s="1001">
        <v>2</v>
      </c>
      <c r="O1414" s="1001">
        <v>8500</v>
      </c>
      <c r="P1414" s="1001">
        <v>2</v>
      </c>
      <c r="Q1414" s="1001">
        <v>10000</v>
      </c>
      <c r="R1414" s="1001"/>
      <c r="S1414" s="1004"/>
      <c r="T1414" s="1004"/>
    </row>
    <row r="1415" spans="2:20" s="1003" customFormat="1" ht="48" x14ac:dyDescent="0.25">
      <c r="B1415" s="1106" t="s">
        <v>3248</v>
      </c>
      <c r="C1415" s="1000" t="s">
        <v>3249</v>
      </c>
      <c r="D1415" s="1025" t="s">
        <v>79</v>
      </c>
      <c r="E1415" s="1001">
        <v>5</v>
      </c>
      <c r="F1415" s="1001">
        <v>1</v>
      </c>
      <c r="G1415" s="1001">
        <f>G1416</f>
        <v>4400</v>
      </c>
      <c r="H1415" s="1001">
        <f t="shared" ref="H1415:Q1415" si="131">H1416</f>
        <v>2</v>
      </c>
      <c r="I1415" s="1001">
        <f t="shared" si="131"/>
        <v>4950</v>
      </c>
      <c r="J1415" s="1001">
        <f t="shared" si="131"/>
        <v>2</v>
      </c>
      <c r="K1415" s="1001">
        <f t="shared" si="131"/>
        <v>5500</v>
      </c>
      <c r="L1415" s="1001">
        <f t="shared" si="131"/>
        <v>2</v>
      </c>
      <c r="M1415" s="1001">
        <f t="shared" si="131"/>
        <v>7500</v>
      </c>
      <c r="N1415" s="1001">
        <f t="shared" si="131"/>
        <v>2</v>
      </c>
      <c r="O1415" s="1001">
        <f t="shared" si="131"/>
        <v>9000</v>
      </c>
      <c r="P1415" s="1001">
        <f t="shared" si="131"/>
        <v>2</v>
      </c>
      <c r="Q1415" s="1001">
        <f t="shared" si="131"/>
        <v>10000</v>
      </c>
      <c r="R1415" s="1001">
        <f>E1415+F1415+H1415+J1415+L1415+N1415</f>
        <v>14</v>
      </c>
      <c r="S1415" s="1004"/>
      <c r="T1415" s="1004"/>
    </row>
    <row r="1416" spans="2:20" s="1003" customFormat="1" ht="63.75" x14ac:dyDescent="0.25">
      <c r="B1416" s="998" t="s">
        <v>1712</v>
      </c>
      <c r="C1416" s="1000" t="s">
        <v>3250</v>
      </c>
      <c r="D1416" s="1025"/>
      <c r="E1416" s="1001"/>
      <c r="F1416" s="1001">
        <v>1</v>
      </c>
      <c r="G1416" s="1001">
        <v>4400</v>
      </c>
      <c r="H1416" s="1001">
        <v>2</v>
      </c>
      <c r="I1416" s="1001">
        <v>4950</v>
      </c>
      <c r="J1416" s="1001">
        <v>2</v>
      </c>
      <c r="K1416" s="1001">
        <v>5500</v>
      </c>
      <c r="L1416" s="1001">
        <v>2</v>
      </c>
      <c r="M1416" s="1001">
        <v>7500</v>
      </c>
      <c r="N1416" s="1001">
        <v>2</v>
      </c>
      <c r="O1416" s="1001">
        <v>9000</v>
      </c>
      <c r="P1416" s="1001">
        <v>2</v>
      </c>
      <c r="Q1416" s="1001">
        <v>10000</v>
      </c>
      <c r="R1416" s="1001"/>
      <c r="S1416" s="1004"/>
      <c r="T1416" s="1004"/>
    </row>
    <row r="1417" spans="2:20" s="1003" customFormat="1" ht="63.75" customHeight="1" x14ac:dyDescent="0.25">
      <c r="B1417" s="1065" t="s">
        <v>3251</v>
      </c>
      <c r="C1417" s="1000" t="s">
        <v>3252</v>
      </c>
      <c r="D1417" s="1025" t="s">
        <v>79</v>
      </c>
      <c r="E1417" s="1001">
        <v>5</v>
      </c>
      <c r="F1417" s="1001">
        <v>1</v>
      </c>
      <c r="G1417" s="2114">
        <f>SUM(G1419:G1420)</f>
        <v>10791</v>
      </c>
      <c r="H1417" s="1001">
        <v>1</v>
      </c>
      <c r="I1417" s="2114">
        <f>SUM(I1419:I1420)</f>
        <v>10791</v>
      </c>
      <c r="J1417" s="1001">
        <v>1</v>
      </c>
      <c r="K1417" s="2114">
        <f>SUM(K1419:K1420)</f>
        <v>17000</v>
      </c>
      <c r="L1417" s="1001">
        <v>1</v>
      </c>
      <c r="M1417" s="2114">
        <f>SUM(M1419:M1420)</f>
        <v>21000</v>
      </c>
      <c r="N1417" s="1001">
        <v>1</v>
      </c>
      <c r="O1417" s="2114">
        <f>SUM(O1419:O1420)</f>
        <v>24000</v>
      </c>
      <c r="P1417" s="1001">
        <v>1</v>
      </c>
      <c r="Q1417" s="2114">
        <f>SUM(Q1419:Q1420)</f>
        <v>26500</v>
      </c>
      <c r="R1417" s="1001">
        <f>E1417+F1417+H1417+J1417+L1417+N1417</f>
        <v>10</v>
      </c>
      <c r="S1417" s="1004"/>
      <c r="T1417" s="1004"/>
    </row>
    <row r="1418" spans="2:20" s="1003" customFormat="1" ht="38.25" x14ac:dyDescent="0.25">
      <c r="B1418" s="1066"/>
      <c r="C1418" s="1000" t="s">
        <v>3253</v>
      </c>
      <c r="D1418" s="1025" t="s">
        <v>79</v>
      </c>
      <c r="E1418" s="1001">
        <v>5</v>
      </c>
      <c r="F1418" s="1001">
        <v>1</v>
      </c>
      <c r="G1418" s="2114"/>
      <c r="H1418" s="1001">
        <v>1</v>
      </c>
      <c r="I1418" s="2114"/>
      <c r="J1418" s="1001">
        <v>1</v>
      </c>
      <c r="K1418" s="2114"/>
      <c r="L1418" s="1001">
        <v>1</v>
      </c>
      <c r="M1418" s="2114"/>
      <c r="N1418" s="1001">
        <v>1</v>
      </c>
      <c r="O1418" s="2114"/>
      <c r="P1418" s="1001">
        <v>1</v>
      </c>
      <c r="Q1418" s="2114"/>
      <c r="R1418" s="1001">
        <f>E1418+F1418+H1418+J1418+L1418+N1418</f>
        <v>10</v>
      </c>
      <c r="S1418" s="1004"/>
      <c r="T1418" s="1004"/>
    </row>
    <row r="1419" spans="2:20" s="1003" customFormat="1" ht="38.25" x14ac:dyDescent="0.25">
      <c r="B1419" s="998" t="s">
        <v>3254</v>
      </c>
      <c r="C1419" s="1000" t="s">
        <v>3255</v>
      </c>
      <c r="D1419" s="1025" t="s">
        <v>2371</v>
      </c>
      <c r="E1419" s="1001"/>
      <c r="F1419" s="1001">
        <v>66</v>
      </c>
      <c r="G1419" s="1001">
        <v>10791</v>
      </c>
      <c r="H1419" s="1001">
        <v>66</v>
      </c>
      <c r="I1419" s="1001">
        <v>10791</v>
      </c>
      <c r="J1419" s="1001">
        <v>66</v>
      </c>
      <c r="K1419" s="1001">
        <v>12000</v>
      </c>
      <c r="L1419" s="1001">
        <v>66</v>
      </c>
      <c r="M1419" s="1001">
        <v>13500</v>
      </c>
      <c r="N1419" s="1001">
        <v>66</v>
      </c>
      <c r="O1419" s="1001">
        <v>15000</v>
      </c>
      <c r="P1419" s="1001">
        <v>66</v>
      </c>
      <c r="Q1419" s="1001">
        <v>17000</v>
      </c>
      <c r="R1419" s="1001"/>
      <c r="S1419" s="1004"/>
      <c r="T1419" s="1004"/>
    </row>
    <row r="1420" spans="2:20" s="1003" customFormat="1" ht="51" x14ac:dyDescent="0.25">
      <c r="B1420" s="998" t="s">
        <v>3256</v>
      </c>
      <c r="C1420" s="1000" t="s">
        <v>3257</v>
      </c>
      <c r="D1420" s="1025" t="s">
        <v>103</v>
      </c>
      <c r="E1420" s="1001"/>
      <c r="F1420" s="1001"/>
      <c r="G1420" s="1001"/>
      <c r="H1420" s="1001"/>
      <c r="I1420" s="1001"/>
      <c r="J1420" s="1001">
        <v>11</v>
      </c>
      <c r="K1420" s="1001">
        <v>5000</v>
      </c>
      <c r="L1420" s="1001">
        <v>11</v>
      </c>
      <c r="M1420" s="1001">
        <v>7500</v>
      </c>
      <c r="N1420" s="1001">
        <v>11</v>
      </c>
      <c r="O1420" s="1001">
        <v>9000</v>
      </c>
      <c r="P1420" s="1001">
        <v>11</v>
      </c>
      <c r="Q1420" s="1001">
        <v>9500</v>
      </c>
      <c r="R1420" s="1001"/>
      <c r="S1420" s="1004"/>
      <c r="T1420" s="1004"/>
    </row>
    <row r="1421" spans="2:20" s="1003" customFormat="1" ht="51" x14ac:dyDescent="0.25">
      <c r="B1421" s="1106" t="s">
        <v>3420</v>
      </c>
      <c r="C1421" s="1000" t="s">
        <v>3386</v>
      </c>
      <c r="D1421" s="1025" t="s">
        <v>19</v>
      </c>
      <c r="E1421" s="1001">
        <v>100</v>
      </c>
      <c r="F1421" s="1001">
        <v>100</v>
      </c>
      <c r="G1421" s="1001">
        <f>G1422</f>
        <v>48000</v>
      </c>
      <c r="H1421" s="1001">
        <v>100</v>
      </c>
      <c r="I1421" s="1001">
        <f>I1422</f>
        <v>51000</v>
      </c>
      <c r="J1421" s="1001">
        <v>100</v>
      </c>
      <c r="K1421" s="1001">
        <f>K1422</f>
        <v>60000</v>
      </c>
      <c r="L1421" s="1001">
        <v>100</v>
      </c>
      <c r="M1421" s="1001">
        <f>M1422</f>
        <v>65000</v>
      </c>
      <c r="N1421" s="1001">
        <v>100</v>
      </c>
      <c r="O1421" s="1001">
        <f>O1422</f>
        <v>70000</v>
      </c>
      <c r="P1421" s="1001">
        <v>100</v>
      </c>
      <c r="Q1421" s="1001">
        <f>Q1422</f>
        <v>75000</v>
      </c>
      <c r="R1421" s="1001">
        <v>100</v>
      </c>
      <c r="S1421" s="1004"/>
      <c r="T1421" s="1004"/>
    </row>
    <row r="1422" spans="2:20" s="1003" customFormat="1" ht="25.5" x14ac:dyDescent="0.25">
      <c r="B1422" s="998" t="s">
        <v>3421</v>
      </c>
      <c r="C1422" s="1000" t="s">
        <v>3422</v>
      </c>
      <c r="D1422" s="1025" t="s">
        <v>40</v>
      </c>
      <c r="E1422" s="1001"/>
      <c r="F1422" s="1001">
        <v>12</v>
      </c>
      <c r="G1422" s="1001">
        <v>48000</v>
      </c>
      <c r="H1422" s="1001">
        <v>12</v>
      </c>
      <c r="I1422" s="1001">
        <v>51000</v>
      </c>
      <c r="J1422" s="1001">
        <v>12</v>
      </c>
      <c r="K1422" s="1001">
        <v>60000</v>
      </c>
      <c r="L1422" s="1001">
        <v>12</v>
      </c>
      <c r="M1422" s="1001">
        <v>65000</v>
      </c>
      <c r="N1422" s="1001">
        <v>12</v>
      </c>
      <c r="O1422" s="1001">
        <v>70000</v>
      </c>
      <c r="P1422" s="1001">
        <v>12</v>
      </c>
      <c r="Q1422" s="1001">
        <v>75000</v>
      </c>
      <c r="R1422" s="1001"/>
      <c r="S1422" s="1004"/>
      <c r="T1422" s="1004"/>
    </row>
    <row r="1423" spans="2:20" s="1003" customFormat="1" ht="84" x14ac:dyDescent="0.25">
      <c r="B1423" s="1106" t="s">
        <v>1743</v>
      </c>
      <c r="C1423" s="1000" t="s">
        <v>3265</v>
      </c>
      <c r="D1423" s="1025" t="s">
        <v>19</v>
      </c>
      <c r="E1423" s="1001">
        <v>50</v>
      </c>
      <c r="F1423" s="1001">
        <v>60</v>
      </c>
      <c r="G1423" s="1001">
        <f>SUM(G1424:G1425)</f>
        <v>19800</v>
      </c>
      <c r="H1423" s="1001">
        <v>70</v>
      </c>
      <c r="I1423" s="1001">
        <f>SUM(I1424:I1425)</f>
        <v>20900</v>
      </c>
      <c r="J1423" s="1001">
        <v>80</v>
      </c>
      <c r="K1423" s="1001">
        <f>SUM(K1424:K1425)</f>
        <v>25500</v>
      </c>
      <c r="L1423" s="1001">
        <v>90</v>
      </c>
      <c r="M1423" s="1001">
        <f>SUM(M1424:M1425)</f>
        <v>29000</v>
      </c>
      <c r="N1423" s="1001">
        <v>100</v>
      </c>
      <c r="O1423" s="1001">
        <f>SUM(O1424:O1425)</f>
        <v>33500</v>
      </c>
      <c r="P1423" s="1001">
        <v>100</v>
      </c>
      <c r="Q1423" s="1001">
        <f>SUM(Q1424:Q1425)</f>
        <v>40000</v>
      </c>
      <c r="R1423" s="1001">
        <v>100</v>
      </c>
      <c r="S1423" s="1004"/>
      <c r="T1423" s="1004"/>
    </row>
    <row r="1424" spans="2:20" s="1003" customFormat="1" ht="25.5" x14ac:dyDescent="0.25">
      <c r="B1424" s="998" t="s">
        <v>3266</v>
      </c>
      <c r="C1424" s="1000" t="s">
        <v>3267</v>
      </c>
      <c r="D1424" s="1025" t="s">
        <v>103</v>
      </c>
      <c r="E1424" s="1001"/>
      <c r="F1424" s="1001">
        <v>11</v>
      </c>
      <c r="G1424" s="1001">
        <v>14300</v>
      </c>
      <c r="H1424" s="1001">
        <v>11</v>
      </c>
      <c r="I1424" s="1001">
        <v>15400</v>
      </c>
      <c r="J1424" s="1001">
        <v>11</v>
      </c>
      <c r="K1424" s="1001">
        <v>18000</v>
      </c>
      <c r="L1424" s="1001">
        <v>11</v>
      </c>
      <c r="M1424" s="1001">
        <v>20000</v>
      </c>
      <c r="N1424" s="1001">
        <v>11</v>
      </c>
      <c r="O1424" s="1001">
        <v>22500</v>
      </c>
      <c r="P1424" s="1001">
        <v>11</v>
      </c>
      <c r="Q1424" s="1001">
        <v>25000</v>
      </c>
      <c r="R1424" s="1001"/>
      <c r="S1424" s="1004"/>
      <c r="T1424" s="1004"/>
    </row>
    <row r="1425" spans="2:20" s="1003" customFormat="1" ht="76.5" x14ac:dyDescent="0.25">
      <c r="B1425" s="998" t="s">
        <v>3390</v>
      </c>
      <c r="C1425" s="1000" t="s">
        <v>3273</v>
      </c>
      <c r="D1425" s="1025" t="s">
        <v>103</v>
      </c>
      <c r="E1425" s="1001"/>
      <c r="F1425" s="1001">
        <v>11</v>
      </c>
      <c r="G1425" s="1001">
        <v>5500</v>
      </c>
      <c r="H1425" s="1001">
        <v>11</v>
      </c>
      <c r="I1425" s="1001">
        <v>5500</v>
      </c>
      <c r="J1425" s="1001">
        <v>11</v>
      </c>
      <c r="K1425" s="1001">
        <v>7500</v>
      </c>
      <c r="L1425" s="1001">
        <v>11</v>
      </c>
      <c r="M1425" s="1001">
        <v>9000</v>
      </c>
      <c r="N1425" s="1001">
        <v>11</v>
      </c>
      <c r="O1425" s="1001">
        <v>11000</v>
      </c>
      <c r="P1425" s="1001">
        <v>11</v>
      </c>
      <c r="Q1425" s="1001">
        <v>15000</v>
      </c>
      <c r="R1425" s="1001"/>
      <c r="S1425" s="1004"/>
      <c r="T1425" s="1004"/>
    </row>
    <row r="1426" spans="2:20" s="1003" customFormat="1" ht="76.5" customHeight="1" x14ac:dyDescent="0.25">
      <c r="B1426" s="1063" t="s">
        <v>3425</v>
      </c>
      <c r="C1426" s="1000" t="s">
        <v>3274</v>
      </c>
      <c r="D1426" s="1025" t="s">
        <v>79</v>
      </c>
      <c r="E1426" s="1001">
        <v>1</v>
      </c>
      <c r="F1426" s="1001">
        <v>1</v>
      </c>
      <c r="G1426" s="1001">
        <f>G1427</f>
        <v>3300</v>
      </c>
      <c r="H1426" s="1001">
        <v>1</v>
      </c>
      <c r="I1426" s="1001">
        <f>I1427</f>
        <v>3850</v>
      </c>
      <c r="J1426" s="1001">
        <v>1</v>
      </c>
      <c r="K1426" s="1001">
        <f>K1427</f>
        <v>4500</v>
      </c>
      <c r="L1426" s="1001">
        <v>1</v>
      </c>
      <c r="M1426" s="1001">
        <f>M1427</f>
        <v>5500</v>
      </c>
      <c r="N1426" s="1001">
        <v>1</v>
      </c>
      <c r="O1426" s="1001">
        <f>O1427</f>
        <v>6500</v>
      </c>
      <c r="P1426" s="1001">
        <v>1</v>
      </c>
      <c r="Q1426" s="1001">
        <f>Q1427</f>
        <v>7000</v>
      </c>
      <c r="R1426" s="1001">
        <f>E1426+F1426+H1426+J1426+L1426+N1426</f>
        <v>6</v>
      </c>
      <c r="S1426" s="1004"/>
      <c r="T1426" s="1004"/>
    </row>
    <row r="1427" spans="2:20" s="1003" customFormat="1" ht="25.5" x14ac:dyDescent="0.25">
      <c r="B1427" s="1008" t="s">
        <v>3277</v>
      </c>
      <c r="C1427" s="1000" t="s">
        <v>3278</v>
      </c>
      <c r="D1427" s="1025" t="s">
        <v>103</v>
      </c>
      <c r="E1427" s="1001"/>
      <c r="F1427" s="1001">
        <v>12</v>
      </c>
      <c r="G1427" s="1001">
        <v>3300</v>
      </c>
      <c r="H1427" s="1001">
        <v>12</v>
      </c>
      <c r="I1427" s="1001">
        <v>3850</v>
      </c>
      <c r="J1427" s="1001">
        <v>12</v>
      </c>
      <c r="K1427" s="1001">
        <v>4500</v>
      </c>
      <c r="L1427" s="1001">
        <v>12</v>
      </c>
      <c r="M1427" s="1001">
        <v>5500</v>
      </c>
      <c r="N1427" s="1001">
        <v>12</v>
      </c>
      <c r="O1427" s="1001">
        <v>6500</v>
      </c>
      <c r="P1427" s="1001">
        <v>12</v>
      </c>
      <c r="Q1427" s="1001">
        <v>7000</v>
      </c>
      <c r="R1427" s="1001"/>
      <c r="S1427" s="1004"/>
      <c r="T1427" s="1004"/>
    </row>
    <row r="1428" spans="2:20" s="1003" customFormat="1" ht="63.75" customHeight="1" x14ac:dyDescent="0.25">
      <c r="B1428" s="1063" t="s">
        <v>3280</v>
      </c>
      <c r="C1428" s="1000" t="s">
        <v>3279</v>
      </c>
      <c r="D1428" s="1025" t="s">
        <v>327</v>
      </c>
      <c r="E1428" s="1001">
        <v>16</v>
      </c>
      <c r="F1428" s="1001">
        <v>20</v>
      </c>
      <c r="G1428" s="1001">
        <f>SUM(G1429:G1430)</f>
        <v>4000</v>
      </c>
      <c r="H1428" s="1001">
        <v>24</v>
      </c>
      <c r="I1428" s="1001">
        <f>SUM(I1429:I1430)</f>
        <v>7500</v>
      </c>
      <c r="J1428" s="1001">
        <v>28</v>
      </c>
      <c r="K1428" s="1001">
        <f>SUM(K1429:K1430)</f>
        <v>10000</v>
      </c>
      <c r="L1428" s="1001">
        <v>32</v>
      </c>
      <c r="M1428" s="1001">
        <f>SUM(M1429:M1430)</f>
        <v>13000</v>
      </c>
      <c r="N1428" s="1001">
        <v>36</v>
      </c>
      <c r="O1428" s="1001">
        <f>SUM(O1429:O1430)</f>
        <v>15000</v>
      </c>
      <c r="P1428" s="1001">
        <v>40</v>
      </c>
      <c r="Q1428" s="1001">
        <f>SUM(Q1429:Q1430)</f>
        <v>16500</v>
      </c>
      <c r="R1428" s="1001">
        <f>N1428</f>
        <v>36</v>
      </c>
      <c r="S1428" s="1004"/>
      <c r="T1428" s="1004"/>
    </row>
    <row r="1429" spans="2:20" s="1003" customFormat="1" ht="38.25" x14ac:dyDescent="0.25">
      <c r="B1429" s="1008" t="s">
        <v>1298</v>
      </c>
      <c r="C1429" s="1000" t="s">
        <v>3281</v>
      </c>
      <c r="D1429" s="1025" t="s">
        <v>327</v>
      </c>
      <c r="E1429" s="1001"/>
      <c r="F1429" s="1001"/>
      <c r="G1429" s="1001"/>
      <c r="H1429" s="1001">
        <v>12</v>
      </c>
      <c r="I1429" s="1001">
        <v>3000</v>
      </c>
      <c r="J1429" s="1001">
        <v>12</v>
      </c>
      <c r="K1429" s="1001">
        <v>4500</v>
      </c>
      <c r="L1429" s="1001">
        <v>12</v>
      </c>
      <c r="M1429" s="1001">
        <v>5500</v>
      </c>
      <c r="N1429" s="1001">
        <v>12</v>
      </c>
      <c r="O1429" s="1001">
        <v>6000</v>
      </c>
      <c r="P1429" s="1001">
        <v>12</v>
      </c>
      <c r="Q1429" s="1001">
        <v>6500</v>
      </c>
      <c r="R1429" s="1001"/>
      <c r="S1429" s="1004"/>
      <c r="T1429" s="1004"/>
    </row>
    <row r="1430" spans="2:20" s="1003" customFormat="1" ht="38.25" x14ac:dyDescent="0.25">
      <c r="B1430" s="1008" t="s">
        <v>3282</v>
      </c>
      <c r="C1430" s="1000" t="s">
        <v>3283</v>
      </c>
      <c r="D1430" s="1025" t="s">
        <v>327</v>
      </c>
      <c r="E1430" s="1001"/>
      <c r="F1430" s="1001">
        <v>2</v>
      </c>
      <c r="G1430" s="1001">
        <v>4000</v>
      </c>
      <c r="H1430" s="1001">
        <v>2</v>
      </c>
      <c r="I1430" s="1001">
        <v>4500</v>
      </c>
      <c r="J1430" s="1001">
        <v>2</v>
      </c>
      <c r="K1430" s="1001">
        <v>5500</v>
      </c>
      <c r="L1430" s="1001">
        <v>2</v>
      </c>
      <c r="M1430" s="1001">
        <v>7500</v>
      </c>
      <c r="N1430" s="1001">
        <v>2</v>
      </c>
      <c r="O1430" s="1001">
        <v>9000</v>
      </c>
      <c r="P1430" s="1001">
        <v>2</v>
      </c>
      <c r="Q1430" s="1001">
        <v>10000</v>
      </c>
      <c r="R1430" s="1001"/>
      <c r="S1430" s="1004"/>
      <c r="T1430" s="1004"/>
    </row>
    <row r="1431" spans="2:20" s="1003" customFormat="1" ht="63.75" x14ac:dyDescent="0.25">
      <c r="B1431" s="998" t="s">
        <v>3284</v>
      </c>
      <c r="C1431" s="1009" t="s">
        <v>3285</v>
      </c>
      <c r="D1431" s="1025" t="s">
        <v>364</v>
      </c>
      <c r="E1431" s="1001">
        <v>100</v>
      </c>
      <c r="F1431" s="1001">
        <v>90</v>
      </c>
      <c r="G1431" s="1001">
        <f>G1432</f>
        <v>0</v>
      </c>
      <c r="H1431" s="1001">
        <v>80</v>
      </c>
      <c r="I1431" s="1001">
        <f>I1432</f>
        <v>0</v>
      </c>
      <c r="J1431" s="1001">
        <v>70</v>
      </c>
      <c r="K1431" s="1001">
        <f>K1432</f>
        <v>7500</v>
      </c>
      <c r="L1431" s="1001">
        <v>60</v>
      </c>
      <c r="M1431" s="1001">
        <f>M1432</f>
        <v>10000</v>
      </c>
      <c r="N1431" s="1001">
        <v>50</v>
      </c>
      <c r="O1431" s="1001">
        <f>O1432</f>
        <v>12500</v>
      </c>
      <c r="P1431" s="1001">
        <v>50</v>
      </c>
      <c r="Q1431" s="1001">
        <f>Q1432</f>
        <v>15000</v>
      </c>
      <c r="R1431" s="1001">
        <f>N1431</f>
        <v>50</v>
      </c>
      <c r="S1431" s="1004"/>
      <c r="T1431" s="1004"/>
    </row>
    <row r="1432" spans="2:20" s="1003" customFormat="1" ht="63.75" x14ac:dyDescent="0.25">
      <c r="B1432" s="998" t="s">
        <v>3286</v>
      </c>
      <c r="C1432" s="1009" t="s">
        <v>3287</v>
      </c>
      <c r="D1432" s="1025" t="s">
        <v>100</v>
      </c>
      <c r="E1432" s="1001"/>
      <c r="F1432" s="1001"/>
      <c r="G1432" s="1001"/>
      <c r="H1432" s="1001"/>
      <c r="I1432" s="1001"/>
      <c r="J1432" s="1001">
        <v>33</v>
      </c>
      <c r="K1432" s="1001">
        <v>7500</v>
      </c>
      <c r="L1432" s="1001">
        <v>33</v>
      </c>
      <c r="M1432" s="1001">
        <v>10000</v>
      </c>
      <c r="N1432" s="1001">
        <v>33</v>
      </c>
      <c r="O1432" s="1001">
        <v>12500</v>
      </c>
      <c r="P1432" s="1001">
        <v>33</v>
      </c>
      <c r="Q1432" s="1001">
        <v>15000</v>
      </c>
      <c r="R1432" s="1001"/>
      <c r="S1432" s="1004"/>
      <c r="T1432" s="1004"/>
    </row>
    <row r="1433" spans="2:20" s="1003" customFormat="1" ht="48" x14ac:dyDescent="0.25">
      <c r="B1433" s="1106" t="s">
        <v>3289</v>
      </c>
      <c r="C1433" s="1009" t="s">
        <v>3288</v>
      </c>
      <c r="D1433" s="1025" t="s">
        <v>100</v>
      </c>
      <c r="E1433" s="1001">
        <v>30</v>
      </c>
      <c r="F1433" s="1001">
        <f>F1434</f>
        <v>2</v>
      </c>
      <c r="G1433" s="1001">
        <f t="shared" ref="G1433:Q1433" si="132">G1434</f>
        <v>12000</v>
      </c>
      <c r="H1433" s="1001">
        <f t="shared" si="132"/>
        <v>2</v>
      </c>
      <c r="I1433" s="1001">
        <f t="shared" si="132"/>
        <v>11500</v>
      </c>
      <c r="J1433" s="1001">
        <f t="shared" si="132"/>
        <v>2</v>
      </c>
      <c r="K1433" s="1001">
        <f t="shared" si="132"/>
        <v>15000</v>
      </c>
      <c r="L1433" s="1001">
        <f t="shared" si="132"/>
        <v>2</v>
      </c>
      <c r="M1433" s="1001">
        <f t="shared" si="132"/>
        <v>17500</v>
      </c>
      <c r="N1433" s="1001">
        <f t="shared" si="132"/>
        <v>2</v>
      </c>
      <c r="O1433" s="1001">
        <f t="shared" si="132"/>
        <v>20000</v>
      </c>
      <c r="P1433" s="1001">
        <f t="shared" si="132"/>
        <v>2</v>
      </c>
      <c r="Q1433" s="1001">
        <f t="shared" si="132"/>
        <v>22500</v>
      </c>
      <c r="R1433" s="1001">
        <f>F1433+H1433+J1433+L1433+N1433</f>
        <v>10</v>
      </c>
      <c r="S1433" s="1004"/>
      <c r="T1433" s="1004"/>
    </row>
    <row r="1434" spans="2:20" s="1003" customFormat="1" ht="76.5" x14ac:dyDescent="0.25">
      <c r="B1434" s="998" t="s">
        <v>894</v>
      </c>
      <c r="C1434" s="1009" t="s">
        <v>3290</v>
      </c>
      <c r="D1434" s="1025" t="s">
        <v>103</v>
      </c>
      <c r="E1434" s="1001"/>
      <c r="F1434" s="1001">
        <v>2</v>
      </c>
      <c r="G1434" s="1001">
        <v>12000</v>
      </c>
      <c r="H1434" s="1001">
        <v>2</v>
      </c>
      <c r="I1434" s="1001">
        <v>11500</v>
      </c>
      <c r="J1434" s="1001">
        <v>2</v>
      </c>
      <c r="K1434" s="1001">
        <v>15000</v>
      </c>
      <c r="L1434" s="1001">
        <v>2</v>
      </c>
      <c r="M1434" s="1001">
        <v>17500</v>
      </c>
      <c r="N1434" s="1001">
        <v>2</v>
      </c>
      <c r="O1434" s="1001">
        <v>20000</v>
      </c>
      <c r="P1434" s="1001">
        <v>2</v>
      </c>
      <c r="Q1434" s="1001">
        <v>22500</v>
      </c>
      <c r="R1434" s="1001"/>
      <c r="S1434" s="1004"/>
      <c r="T1434" s="1004"/>
    </row>
    <row r="1435" spans="2:20" s="1003" customFormat="1" ht="60" x14ac:dyDescent="0.25">
      <c r="B1435" s="1063" t="s">
        <v>3292</v>
      </c>
      <c r="C1435" s="1000" t="s">
        <v>3291</v>
      </c>
      <c r="D1435" s="1025" t="s">
        <v>19</v>
      </c>
      <c r="E1435" s="1001">
        <v>75</v>
      </c>
      <c r="F1435" s="1001">
        <v>77</v>
      </c>
      <c r="G1435" s="1001">
        <f>G1436</f>
        <v>0</v>
      </c>
      <c r="H1435" s="1001"/>
      <c r="I1435" s="1001">
        <f>I1436</f>
        <v>0</v>
      </c>
      <c r="J1435" s="1001"/>
      <c r="K1435" s="1001">
        <f>K1436</f>
        <v>0</v>
      </c>
      <c r="L1435" s="1001">
        <v>80</v>
      </c>
      <c r="M1435" s="1001">
        <f>M1436</f>
        <v>11000</v>
      </c>
      <c r="N1435" s="1001"/>
      <c r="O1435" s="1001">
        <f>O1436</f>
        <v>0</v>
      </c>
      <c r="P1435" s="1001"/>
      <c r="Q1435" s="1001">
        <f>Q1436</f>
        <v>0</v>
      </c>
      <c r="R1435" s="1001">
        <f>L1435</f>
        <v>80</v>
      </c>
      <c r="S1435" s="1004"/>
      <c r="T1435" s="1004"/>
    </row>
    <row r="1436" spans="2:20" s="1003" customFormat="1" ht="38.25" x14ac:dyDescent="0.25">
      <c r="B1436" s="1008" t="s">
        <v>3293</v>
      </c>
      <c r="C1436" s="1000" t="s">
        <v>3294</v>
      </c>
      <c r="D1436" s="1025" t="s">
        <v>103</v>
      </c>
      <c r="E1436" s="1001"/>
      <c r="F1436" s="1001"/>
      <c r="G1436" s="1001"/>
      <c r="H1436" s="1001"/>
      <c r="I1436" s="1001"/>
      <c r="J1436" s="1001"/>
      <c r="K1436" s="1001"/>
      <c r="L1436" s="1001">
        <v>11</v>
      </c>
      <c r="M1436" s="1001">
        <v>11000</v>
      </c>
      <c r="N1436" s="1001"/>
      <c r="O1436" s="1001"/>
      <c r="P1436" s="1001"/>
      <c r="Q1436" s="1001"/>
      <c r="R1436" s="1001"/>
      <c r="S1436" s="1004"/>
      <c r="T1436" s="1004"/>
    </row>
    <row r="1437" spans="2:20" s="1003" customFormat="1" ht="60" x14ac:dyDescent="0.25">
      <c r="B1437" s="1063" t="s">
        <v>3296</v>
      </c>
      <c r="C1437" s="1000" t="s">
        <v>3295</v>
      </c>
      <c r="D1437" s="1025" t="s">
        <v>327</v>
      </c>
      <c r="E1437" s="1001">
        <v>11</v>
      </c>
      <c r="F1437" s="1001">
        <f>F1438</f>
        <v>11</v>
      </c>
      <c r="G1437" s="1001">
        <f t="shared" ref="G1437:Q1437" si="133">G1438</f>
        <v>2200</v>
      </c>
      <c r="H1437" s="1001">
        <f t="shared" si="133"/>
        <v>11</v>
      </c>
      <c r="I1437" s="1001">
        <f t="shared" si="133"/>
        <v>2750</v>
      </c>
      <c r="J1437" s="1001">
        <f t="shared" si="133"/>
        <v>11</v>
      </c>
      <c r="K1437" s="1001">
        <f t="shared" si="133"/>
        <v>3000</v>
      </c>
      <c r="L1437" s="1001">
        <f t="shared" si="133"/>
        <v>11</v>
      </c>
      <c r="M1437" s="1001">
        <f t="shared" si="133"/>
        <v>4500</v>
      </c>
      <c r="N1437" s="1001">
        <f t="shared" si="133"/>
        <v>11</v>
      </c>
      <c r="O1437" s="1001">
        <f t="shared" si="133"/>
        <v>5500</v>
      </c>
      <c r="P1437" s="1001">
        <f t="shared" si="133"/>
        <v>11</v>
      </c>
      <c r="Q1437" s="1001">
        <f t="shared" si="133"/>
        <v>7500</v>
      </c>
      <c r="R1437" s="1001">
        <f>N1437</f>
        <v>11</v>
      </c>
      <c r="S1437" s="1004"/>
      <c r="T1437" s="1004"/>
    </row>
    <row r="1438" spans="2:20" s="1003" customFormat="1" x14ac:dyDescent="0.25">
      <c r="B1438" s="1008" t="s">
        <v>383</v>
      </c>
      <c r="C1438" s="1000" t="s">
        <v>3297</v>
      </c>
      <c r="D1438" s="1025"/>
      <c r="E1438" s="1001"/>
      <c r="F1438" s="1001">
        <v>11</v>
      </c>
      <c r="G1438" s="1001">
        <v>2200</v>
      </c>
      <c r="H1438" s="1001">
        <v>11</v>
      </c>
      <c r="I1438" s="1001">
        <v>2750</v>
      </c>
      <c r="J1438" s="1001">
        <v>11</v>
      </c>
      <c r="K1438" s="1001">
        <v>3000</v>
      </c>
      <c r="L1438" s="1001">
        <v>11</v>
      </c>
      <c r="M1438" s="1001">
        <v>4500</v>
      </c>
      <c r="N1438" s="1001">
        <v>11</v>
      </c>
      <c r="O1438" s="1001">
        <v>5500</v>
      </c>
      <c r="P1438" s="1001">
        <v>11</v>
      </c>
      <c r="Q1438" s="1001">
        <v>7500</v>
      </c>
      <c r="R1438" s="1001"/>
      <c r="S1438" s="1004"/>
      <c r="T1438" s="1004"/>
    </row>
    <row r="1439" spans="2:20" s="1032" customFormat="1" x14ac:dyDescent="0.25">
      <c r="B1439" s="1027" t="s">
        <v>2651</v>
      </c>
      <c r="C1439" s="1033"/>
      <c r="D1439" s="1034"/>
      <c r="E1439" s="1033"/>
      <c r="F1439" s="1033"/>
      <c r="G1439" s="1035">
        <f>G1437+G1435+G1433+G1431+G1428+G1426+G1423+G1421+G1417+G1415+G1413+G1399+G1385</f>
        <v>236961</v>
      </c>
      <c r="H1439" s="1033"/>
      <c r="I1439" s="1035">
        <f>I1437+I1435+I1433+I1431+I1428+I1426+I1423+I1421+I1417+I1415+I1413+I1399+I1385</f>
        <v>240856</v>
      </c>
      <c r="J1439" s="1033"/>
      <c r="K1439" s="1035">
        <f>K1437+K1435+K1433+K1431+K1428+K1426+K1423+K1421+K1417+K1415+K1413+K1399+K1385</f>
        <v>334800</v>
      </c>
      <c r="L1439" s="1033"/>
      <c r="M1439" s="1035">
        <f>M1437+M1435+M1433+M1431+M1428+M1426+M1423+M1421+M1417+M1415+M1413+M1399+M1385</f>
        <v>430000</v>
      </c>
      <c r="N1439" s="1033"/>
      <c r="O1439" s="1035">
        <f>O1437+O1435+O1433+O1431+O1428+O1426+O1423+O1421+O1417+O1415+O1413+O1399+O1385</f>
        <v>491700</v>
      </c>
      <c r="P1439" s="1033"/>
      <c r="Q1439" s="1035">
        <f>Q1437+Q1435+Q1433+Q1431+Q1428+Q1426+Q1423+Q1421+Q1417+Q1415+Q1413+Q1399+Q1385</f>
        <v>535750</v>
      </c>
      <c r="R1439" s="1033"/>
      <c r="S1439" s="1036"/>
      <c r="T1439" s="1036"/>
    </row>
    <row r="1440" spans="2:20" s="1003" customFormat="1" x14ac:dyDescent="0.25">
      <c r="B1440" s="1005"/>
      <c r="C1440" s="1100"/>
      <c r="D1440" s="1000"/>
      <c r="E1440" s="1001"/>
      <c r="F1440" s="1001"/>
      <c r="G1440" s="1001"/>
      <c r="H1440" s="1001"/>
      <c r="I1440" s="1001"/>
      <c r="J1440" s="1001"/>
      <c r="K1440" s="1001"/>
      <c r="L1440" s="1001"/>
      <c r="M1440" s="1001"/>
      <c r="N1440" s="1001"/>
      <c r="O1440" s="1001"/>
      <c r="P1440" s="1001"/>
      <c r="Q1440" s="1001"/>
      <c r="R1440" s="1001"/>
      <c r="S1440" s="1004"/>
      <c r="T1440" s="1004"/>
    </row>
    <row r="1441" spans="2:20" s="1003" customFormat="1" x14ac:dyDescent="0.25">
      <c r="B1441" s="1167" t="s">
        <v>3652</v>
      </c>
      <c r="C1441" s="1100"/>
      <c r="D1441" s="1000"/>
      <c r="E1441" s="1001"/>
      <c r="F1441" s="1001"/>
      <c r="G1441" s="1001"/>
      <c r="H1441" s="1001"/>
      <c r="I1441" s="1001"/>
      <c r="J1441" s="1001"/>
      <c r="K1441" s="1001"/>
      <c r="L1441" s="1001"/>
      <c r="M1441" s="1001"/>
      <c r="N1441" s="1001"/>
      <c r="O1441" s="1001"/>
      <c r="P1441" s="1001"/>
      <c r="Q1441" s="1001"/>
      <c r="R1441" s="1001"/>
      <c r="S1441" s="1004"/>
      <c r="T1441" s="1004"/>
    </row>
    <row r="1442" spans="2:20" s="1003" customFormat="1" ht="51" customHeight="1" x14ac:dyDescent="0.25">
      <c r="B1442" s="998"/>
      <c r="C1442" s="999" t="s">
        <v>3228</v>
      </c>
      <c r="D1442" s="1025" t="s">
        <v>19</v>
      </c>
      <c r="E1442" s="1001">
        <v>90</v>
      </c>
      <c r="F1442" s="1001">
        <v>93</v>
      </c>
      <c r="G1442" s="1001"/>
      <c r="H1442" s="1001">
        <v>94</v>
      </c>
      <c r="I1442" s="1001"/>
      <c r="J1442" s="1001">
        <v>95</v>
      </c>
      <c r="K1442" s="1001"/>
      <c r="L1442" s="1001">
        <v>96</v>
      </c>
      <c r="M1442" s="1001"/>
      <c r="N1442" s="1001">
        <v>97</v>
      </c>
      <c r="O1442" s="1001"/>
      <c r="P1442" s="1001">
        <v>98</v>
      </c>
      <c r="Q1442" s="1001"/>
      <c r="R1442" s="1001">
        <v>97</v>
      </c>
      <c r="S1442" s="1002"/>
      <c r="T1442" s="1002"/>
    </row>
    <row r="1443" spans="2:20" s="1003" customFormat="1" ht="63.75" x14ac:dyDescent="0.25">
      <c r="B1443" s="1106" t="s">
        <v>3229</v>
      </c>
      <c r="C1443" s="1000" t="s">
        <v>1488</v>
      </c>
      <c r="D1443" s="1025" t="s">
        <v>19</v>
      </c>
      <c r="E1443" s="1001">
        <v>100</v>
      </c>
      <c r="F1443" s="1001">
        <v>20</v>
      </c>
      <c r="G1443" s="1001">
        <f>SUM(G1444:G1456)</f>
        <v>96608</v>
      </c>
      <c r="H1443" s="1001">
        <v>20</v>
      </c>
      <c r="I1443" s="1001">
        <f>SUM(I1444:I1456)</f>
        <v>115677</v>
      </c>
      <c r="J1443" s="1001">
        <v>20</v>
      </c>
      <c r="K1443" s="1001">
        <f>SUM(K1444:K1456)</f>
        <v>169500</v>
      </c>
      <c r="L1443" s="1001">
        <v>20</v>
      </c>
      <c r="M1443" s="1001">
        <f>SUM(M1444:M1456)</f>
        <v>216250</v>
      </c>
      <c r="N1443" s="1001">
        <v>20</v>
      </c>
      <c r="O1443" s="1001">
        <f>SUM(O1444:O1456)</f>
        <v>255500</v>
      </c>
      <c r="P1443" s="1001">
        <v>20</v>
      </c>
      <c r="Q1443" s="1001">
        <f>SUM(Q1444:Q1456)</f>
        <v>293500</v>
      </c>
      <c r="R1443" s="1001">
        <v>100</v>
      </c>
      <c r="S1443" s="1004"/>
      <c r="T1443" s="1004"/>
    </row>
    <row r="1444" spans="2:20" s="1003" customFormat="1" ht="25.5" x14ac:dyDescent="0.25">
      <c r="B1444" s="998" t="s">
        <v>124</v>
      </c>
      <c r="C1444" s="1100" t="s">
        <v>3230</v>
      </c>
      <c r="D1444" s="1025" t="s">
        <v>40</v>
      </c>
      <c r="E1444" s="1001">
        <v>12</v>
      </c>
      <c r="F1444" s="1001">
        <v>12</v>
      </c>
      <c r="G1444" s="1001">
        <v>1050</v>
      </c>
      <c r="H1444" s="1001">
        <v>12</v>
      </c>
      <c r="I1444" s="1001">
        <v>1200</v>
      </c>
      <c r="J1444" s="1001">
        <v>12</v>
      </c>
      <c r="K1444" s="1001">
        <v>2500</v>
      </c>
      <c r="L1444" s="1001">
        <v>12</v>
      </c>
      <c r="M1444" s="1001">
        <v>3250</v>
      </c>
      <c r="N1444" s="1001">
        <v>12</v>
      </c>
      <c r="O1444" s="1001">
        <v>3500</v>
      </c>
      <c r="P1444" s="1001">
        <v>12</v>
      </c>
      <c r="Q1444" s="1001">
        <v>5000</v>
      </c>
      <c r="R1444" s="1001"/>
      <c r="S1444" s="1004"/>
      <c r="T1444" s="1004"/>
    </row>
    <row r="1445" spans="2:20" s="1003" customFormat="1" ht="51" x14ac:dyDescent="0.25">
      <c r="B1445" s="1005" t="s">
        <v>126</v>
      </c>
      <c r="C1445" s="1100" t="s">
        <v>2518</v>
      </c>
      <c r="D1445" s="1025" t="s">
        <v>40</v>
      </c>
      <c r="E1445" s="1001">
        <v>12</v>
      </c>
      <c r="F1445" s="1001">
        <v>12</v>
      </c>
      <c r="G1445" s="1001">
        <v>21758</v>
      </c>
      <c r="H1445" s="1001">
        <v>12</v>
      </c>
      <c r="I1445" s="1001">
        <v>26760</v>
      </c>
      <c r="J1445" s="1001">
        <v>12</v>
      </c>
      <c r="K1445" s="1001">
        <v>30000</v>
      </c>
      <c r="L1445" s="1001">
        <v>12</v>
      </c>
      <c r="M1445" s="1001">
        <v>35000</v>
      </c>
      <c r="N1445" s="1001">
        <v>12</v>
      </c>
      <c r="O1445" s="1001">
        <v>40000</v>
      </c>
      <c r="P1445" s="1001">
        <v>12</v>
      </c>
      <c r="Q1445" s="1001">
        <v>45000</v>
      </c>
      <c r="R1445" s="1001"/>
      <c r="S1445" s="1004"/>
      <c r="T1445" s="1004"/>
    </row>
    <row r="1446" spans="2:20" s="1003" customFormat="1" ht="76.5" x14ac:dyDescent="0.25">
      <c r="B1446" s="1005" t="s">
        <v>3231</v>
      </c>
      <c r="C1446" s="1100" t="s">
        <v>2519</v>
      </c>
      <c r="D1446" s="1025" t="s">
        <v>40</v>
      </c>
      <c r="E1446" s="1001">
        <v>12</v>
      </c>
      <c r="F1446" s="1001">
        <v>12</v>
      </c>
      <c r="G1446" s="1001">
        <v>26000</v>
      </c>
      <c r="H1446" s="1001">
        <v>12</v>
      </c>
      <c r="I1446" s="1001">
        <v>30625</v>
      </c>
      <c r="J1446" s="1001">
        <v>12</v>
      </c>
      <c r="K1446" s="1001">
        <v>38000</v>
      </c>
      <c r="L1446" s="1001">
        <v>12</v>
      </c>
      <c r="M1446" s="1001">
        <v>45000</v>
      </c>
      <c r="N1446" s="1001">
        <v>12</v>
      </c>
      <c r="O1446" s="1001">
        <v>50000</v>
      </c>
      <c r="P1446" s="1001">
        <v>12</v>
      </c>
      <c r="Q1446" s="1001">
        <v>55000</v>
      </c>
      <c r="R1446" s="1001"/>
      <c r="S1446" s="1004"/>
      <c r="T1446" s="1004"/>
    </row>
    <row r="1447" spans="2:20" s="1003" customFormat="1" ht="38.25" x14ac:dyDescent="0.25">
      <c r="B1447" s="1005" t="s">
        <v>45</v>
      </c>
      <c r="C1447" s="1100" t="s">
        <v>2520</v>
      </c>
      <c r="D1447" s="1025" t="s">
        <v>40</v>
      </c>
      <c r="E1447" s="1001">
        <v>12</v>
      </c>
      <c r="F1447" s="1001">
        <v>12</v>
      </c>
      <c r="G1447" s="1001">
        <v>15800</v>
      </c>
      <c r="H1447" s="1001">
        <v>12</v>
      </c>
      <c r="I1447" s="1001">
        <v>15000</v>
      </c>
      <c r="J1447" s="1001">
        <v>12</v>
      </c>
      <c r="K1447" s="1001">
        <v>20000</v>
      </c>
      <c r="L1447" s="1001">
        <v>12</v>
      </c>
      <c r="M1447" s="1001">
        <v>25000</v>
      </c>
      <c r="N1447" s="1001">
        <v>12</v>
      </c>
      <c r="O1447" s="1001">
        <v>30000</v>
      </c>
      <c r="P1447" s="1001">
        <v>12</v>
      </c>
      <c r="Q1447" s="1001">
        <v>35000</v>
      </c>
      <c r="R1447" s="1001"/>
      <c r="S1447" s="1004"/>
      <c r="T1447" s="1004"/>
    </row>
    <row r="1448" spans="2:20" s="1003" customFormat="1" ht="38.25" x14ac:dyDescent="0.25">
      <c r="B1448" s="1005" t="s">
        <v>47</v>
      </c>
      <c r="C1448" s="1100" t="s">
        <v>2521</v>
      </c>
      <c r="D1448" s="1025" t="s">
        <v>40</v>
      </c>
      <c r="E1448" s="1001">
        <v>12</v>
      </c>
      <c r="F1448" s="1001">
        <v>12</v>
      </c>
      <c r="G1448" s="1001">
        <v>1500</v>
      </c>
      <c r="H1448" s="1001">
        <v>12</v>
      </c>
      <c r="I1448" s="1001">
        <v>2500</v>
      </c>
      <c r="J1448" s="1001">
        <v>12</v>
      </c>
      <c r="K1448" s="1001">
        <v>7000</v>
      </c>
      <c r="L1448" s="1001">
        <v>12</v>
      </c>
      <c r="M1448" s="1001">
        <v>13000</v>
      </c>
      <c r="N1448" s="1001">
        <v>12</v>
      </c>
      <c r="O1448" s="1001">
        <v>16000</v>
      </c>
      <c r="P1448" s="1001">
        <v>12</v>
      </c>
      <c r="Q1448" s="1001">
        <v>18000</v>
      </c>
      <c r="R1448" s="1001"/>
      <c r="S1448" s="1004"/>
      <c r="T1448" s="1004"/>
    </row>
    <row r="1449" spans="2:20" s="1003" customFormat="1" ht="51" x14ac:dyDescent="0.25">
      <c r="B1449" s="1005" t="s">
        <v>923</v>
      </c>
      <c r="C1449" s="1100" t="s">
        <v>2522</v>
      </c>
      <c r="D1449" s="1025" t="s">
        <v>40</v>
      </c>
      <c r="E1449" s="1001">
        <v>12</v>
      </c>
      <c r="F1449" s="1001">
        <v>12</v>
      </c>
      <c r="G1449" s="1001">
        <v>3000</v>
      </c>
      <c r="H1449" s="1001">
        <v>12</v>
      </c>
      <c r="I1449" s="1001">
        <v>6000</v>
      </c>
      <c r="J1449" s="1001">
        <v>12</v>
      </c>
      <c r="K1449" s="1001">
        <v>10000</v>
      </c>
      <c r="L1449" s="1001">
        <v>12</v>
      </c>
      <c r="M1449" s="1001">
        <v>13000</v>
      </c>
      <c r="N1449" s="1001">
        <v>12</v>
      </c>
      <c r="O1449" s="1001">
        <v>15000</v>
      </c>
      <c r="P1449" s="1001">
        <v>12</v>
      </c>
      <c r="Q1449" s="1001">
        <v>17000</v>
      </c>
      <c r="R1449" s="1001"/>
      <c r="S1449" s="1004"/>
      <c r="T1449" s="1004"/>
    </row>
    <row r="1450" spans="2:20" s="1003" customFormat="1" ht="38.25" x14ac:dyDescent="0.25">
      <c r="B1450" s="1005" t="s">
        <v>50</v>
      </c>
      <c r="C1450" s="1100" t="s">
        <v>2523</v>
      </c>
      <c r="D1450" s="1025" t="s">
        <v>40</v>
      </c>
      <c r="E1450" s="1001">
        <v>12</v>
      </c>
      <c r="F1450" s="1001">
        <v>12</v>
      </c>
      <c r="G1450" s="1001">
        <v>4000</v>
      </c>
      <c r="H1450" s="1001">
        <v>12</v>
      </c>
      <c r="I1450" s="1001">
        <v>5000</v>
      </c>
      <c r="J1450" s="1001">
        <v>12</v>
      </c>
      <c r="K1450" s="1001">
        <v>10000</v>
      </c>
      <c r="L1450" s="1001">
        <v>12</v>
      </c>
      <c r="M1450" s="1001">
        <v>13000</v>
      </c>
      <c r="N1450" s="1001">
        <v>12</v>
      </c>
      <c r="O1450" s="1001">
        <v>15000</v>
      </c>
      <c r="P1450" s="1001">
        <v>12</v>
      </c>
      <c r="Q1450" s="1001">
        <v>16500</v>
      </c>
      <c r="R1450" s="1001"/>
      <c r="S1450" s="1004"/>
      <c r="T1450" s="1004"/>
    </row>
    <row r="1451" spans="2:20" s="1003" customFormat="1" ht="51" x14ac:dyDescent="0.25">
      <c r="B1451" s="1005" t="s">
        <v>52</v>
      </c>
      <c r="C1451" s="1100" t="s">
        <v>2524</v>
      </c>
      <c r="D1451" s="1025" t="s">
        <v>40</v>
      </c>
      <c r="E1451" s="1001">
        <v>12</v>
      </c>
      <c r="F1451" s="1001">
        <v>12</v>
      </c>
      <c r="G1451" s="1001">
        <v>3500</v>
      </c>
      <c r="H1451" s="1001">
        <v>12</v>
      </c>
      <c r="I1451" s="1001">
        <v>3150</v>
      </c>
      <c r="J1451" s="1001">
        <v>12</v>
      </c>
      <c r="K1451" s="1001">
        <v>7500</v>
      </c>
      <c r="L1451" s="1001">
        <v>12</v>
      </c>
      <c r="M1451" s="1001">
        <v>10000</v>
      </c>
      <c r="N1451" s="1001">
        <v>12</v>
      </c>
      <c r="O1451" s="1001">
        <v>13000</v>
      </c>
      <c r="P1451" s="1001">
        <v>12</v>
      </c>
      <c r="Q1451" s="1001">
        <v>14000</v>
      </c>
      <c r="R1451" s="1001"/>
      <c r="S1451" s="1004"/>
      <c r="T1451" s="1004"/>
    </row>
    <row r="1452" spans="2:20" s="1003" customFormat="1" ht="76.5" x14ac:dyDescent="0.25">
      <c r="B1452" s="1005" t="s">
        <v>782</v>
      </c>
      <c r="C1452" s="1100" t="s">
        <v>2525</v>
      </c>
      <c r="D1452" s="1025" t="s">
        <v>40</v>
      </c>
      <c r="E1452" s="1001">
        <v>12</v>
      </c>
      <c r="F1452" s="1001">
        <v>12</v>
      </c>
      <c r="G1452" s="1001">
        <v>2000</v>
      </c>
      <c r="H1452" s="1001">
        <v>12</v>
      </c>
      <c r="I1452" s="1001">
        <v>2500</v>
      </c>
      <c r="J1452" s="1001">
        <v>12</v>
      </c>
      <c r="K1452" s="1001">
        <v>10000</v>
      </c>
      <c r="L1452" s="1001">
        <v>12</v>
      </c>
      <c r="M1452" s="1001">
        <v>15000</v>
      </c>
      <c r="N1452" s="1001">
        <v>12</v>
      </c>
      <c r="O1452" s="1001">
        <v>20000</v>
      </c>
      <c r="P1452" s="1001">
        <v>12</v>
      </c>
      <c r="Q1452" s="1001">
        <v>25000</v>
      </c>
      <c r="R1452" s="1001"/>
      <c r="S1452" s="1004"/>
      <c r="T1452" s="1004"/>
    </row>
    <row r="1453" spans="2:20" s="1003" customFormat="1" ht="63.75" x14ac:dyDescent="0.25">
      <c r="B1453" s="1005" t="s">
        <v>3232</v>
      </c>
      <c r="C1453" s="1100" t="s">
        <v>2526</v>
      </c>
      <c r="D1453" s="1025" t="s">
        <v>40</v>
      </c>
      <c r="E1453" s="1001">
        <v>12</v>
      </c>
      <c r="F1453" s="1001">
        <v>12</v>
      </c>
      <c r="G1453" s="1001">
        <v>1500</v>
      </c>
      <c r="H1453" s="1001">
        <v>12</v>
      </c>
      <c r="I1453" s="1001">
        <v>1600</v>
      </c>
      <c r="J1453" s="1001">
        <v>12</v>
      </c>
      <c r="K1453" s="1001">
        <v>5000</v>
      </c>
      <c r="L1453" s="1001">
        <v>12</v>
      </c>
      <c r="M1453" s="1001">
        <v>7500</v>
      </c>
      <c r="N1453" s="1001">
        <v>12</v>
      </c>
      <c r="O1453" s="1001">
        <v>8000</v>
      </c>
      <c r="P1453" s="1001">
        <v>12</v>
      </c>
      <c r="Q1453" s="1001">
        <v>9000</v>
      </c>
      <c r="R1453" s="1001"/>
      <c r="S1453" s="1004"/>
      <c r="T1453" s="1004"/>
    </row>
    <row r="1454" spans="2:20" s="1003" customFormat="1" ht="38.25" x14ac:dyDescent="0.25">
      <c r="B1454" s="1005" t="s">
        <v>58</v>
      </c>
      <c r="C1454" s="1100" t="s">
        <v>2527</v>
      </c>
      <c r="D1454" s="1025" t="s">
        <v>40</v>
      </c>
      <c r="E1454" s="1001">
        <v>12</v>
      </c>
      <c r="F1454" s="1001">
        <v>12</v>
      </c>
      <c r="G1454" s="1001">
        <v>4000</v>
      </c>
      <c r="H1454" s="1001">
        <v>12</v>
      </c>
      <c r="I1454" s="1001">
        <v>5000</v>
      </c>
      <c r="J1454" s="1001">
        <v>12</v>
      </c>
      <c r="K1454" s="1001">
        <v>7500</v>
      </c>
      <c r="L1454" s="1001">
        <v>12</v>
      </c>
      <c r="M1454" s="1001">
        <v>9000</v>
      </c>
      <c r="N1454" s="1001">
        <v>12</v>
      </c>
      <c r="O1454" s="1001">
        <v>10000</v>
      </c>
      <c r="P1454" s="1001">
        <v>12</v>
      </c>
      <c r="Q1454" s="1001">
        <v>12000</v>
      </c>
      <c r="R1454" s="1001"/>
      <c r="S1454" s="1004"/>
      <c r="T1454" s="1004"/>
    </row>
    <row r="1455" spans="2:20" s="1003" customFormat="1" ht="51" x14ac:dyDescent="0.25">
      <c r="B1455" s="1005" t="s">
        <v>3233</v>
      </c>
      <c r="C1455" s="1100" t="s">
        <v>2529</v>
      </c>
      <c r="D1455" s="1025" t="s">
        <v>40</v>
      </c>
      <c r="E1455" s="1001">
        <v>12</v>
      </c>
      <c r="F1455" s="1001">
        <v>12</v>
      </c>
      <c r="G1455" s="1001">
        <v>11500</v>
      </c>
      <c r="H1455" s="1001">
        <v>12</v>
      </c>
      <c r="I1455" s="1001">
        <v>14422</v>
      </c>
      <c r="J1455" s="1001">
        <v>12</v>
      </c>
      <c r="K1455" s="1001">
        <v>17000</v>
      </c>
      <c r="L1455" s="1001">
        <v>12</v>
      </c>
      <c r="M1455" s="1001">
        <v>20000</v>
      </c>
      <c r="N1455" s="1001">
        <v>12</v>
      </c>
      <c r="O1455" s="1001">
        <v>25000</v>
      </c>
      <c r="P1455" s="1001">
        <v>12</v>
      </c>
      <c r="Q1455" s="1001">
        <v>30000</v>
      </c>
      <c r="R1455" s="1001"/>
      <c r="S1455" s="1004"/>
      <c r="T1455" s="1004"/>
    </row>
    <row r="1456" spans="2:20" s="1003" customFormat="1" ht="51" x14ac:dyDescent="0.25">
      <c r="B1456" s="1102" t="s">
        <v>137</v>
      </c>
      <c r="C1456" s="1100" t="s">
        <v>2528</v>
      </c>
      <c r="D1456" s="1025" t="s">
        <v>40</v>
      </c>
      <c r="E1456" s="1001">
        <v>12</v>
      </c>
      <c r="F1456" s="1001">
        <v>12</v>
      </c>
      <c r="G1456" s="1001">
        <v>1000</v>
      </c>
      <c r="H1456" s="1001">
        <v>12</v>
      </c>
      <c r="I1456" s="1001">
        <v>1920</v>
      </c>
      <c r="J1456" s="1001">
        <v>12</v>
      </c>
      <c r="K1456" s="1001">
        <v>5000</v>
      </c>
      <c r="L1456" s="1001">
        <v>12</v>
      </c>
      <c r="M1456" s="1001">
        <v>7500</v>
      </c>
      <c r="N1456" s="1001">
        <v>12</v>
      </c>
      <c r="O1456" s="1001">
        <v>10000</v>
      </c>
      <c r="P1456" s="1001">
        <v>12</v>
      </c>
      <c r="Q1456" s="1001">
        <v>12000</v>
      </c>
      <c r="R1456" s="1001"/>
      <c r="S1456" s="1004"/>
      <c r="T1456" s="1004"/>
    </row>
    <row r="1457" spans="2:20" s="1003" customFormat="1" ht="38.25" customHeight="1" x14ac:dyDescent="0.25">
      <c r="B1457" s="1061" t="s">
        <v>65</v>
      </c>
      <c r="C1457" s="999" t="s">
        <v>3234</v>
      </c>
      <c r="D1457" s="1015" t="s">
        <v>19</v>
      </c>
      <c r="E1457" s="1001">
        <v>70</v>
      </c>
      <c r="F1457" s="1001">
        <v>3</v>
      </c>
      <c r="G1457" s="2114">
        <f>SUM(G1459:G1463)</f>
        <v>52613</v>
      </c>
      <c r="H1457" s="1001">
        <v>2</v>
      </c>
      <c r="I1457" s="2114">
        <f>SUM(I1459:I1463)</f>
        <v>24500</v>
      </c>
      <c r="J1457" s="1001">
        <v>3</v>
      </c>
      <c r="K1457" s="2114">
        <f>SUM(K1459:K1463)</f>
        <v>73500</v>
      </c>
      <c r="L1457" s="1001">
        <v>2</v>
      </c>
      <c r="M1457" s="2114">
        <f>SUM(M1459:M1463)</f>
        <v>108000</v>
      </c>
      <c r="N1457" s="1001">
        <v>3</v>
      </c>
      <c r="O1457" s="2114">
        <f>SUM(O1459:O1463)</f>
        <v>127000</v>
      </c>
      <c r="P1457" s="1001">
        <v>2</v>
      </c>
      <c r="Q1457" s="2114">
        <f>SUM(Q1459:Q1463)</f>
        <v>120000</v>
      </c>
      <c r="R1457" s="1001">
        <f>E1457+F1457+H1457+J1457+L1457+N1457</f>
        <v>83</v>
      </c>
      <c r="S1457" s="1004"/>
      <c r="T1457" s="1004"/>
    </row>
    <row r="1458" spans="2:20" s="1003" customFormat="1" ht="38.25" x14ac:dyDescent="0.25">
      <c r="B1458" s="1067"/>
      <c r="C1458" s="999" t="s">
        <v>3235</v>
      </c>
      <c r="D1458" s="1015" t="s">
        <v>19</v>
      </c>
      <c r="E1458" s="1001">
        <v>100</v>
      </c>
      <c r="F1458" s="1001">
        <v>100</v>
      </c>
      <c r="G1458" s="2114"/>
      <c r="H1458" s="1001">
        <v>100</v>
      </c>
      <c r="I1458" s="2114"/>
      <c r="J1458" s="1001">
        <v>100</v>
      </c>
      <c r="K1458" s="2114"/>
      <c r="L1458" s="1001">
        <v>100</v>
      </c>
      <c r="M1458" s="2114"/>
      <c r="N1458" s="1001">
        <v>100</v>
      </c>
      <c r="O1458" s="2114"/>
      <c r="P1458" s="1001">
        <v>100</v>
      </c>
      <c r="Q1458" s="2114"/>
      <c r="R1458" s="1001">
        <v>100</v>
      </c>
      <c r="S1458" s="1004"/>
      <c r="T1458" s="1004"/>
    </row>
    <row r="1459" spans="2:20" s="1003" customFormat="1" ht="25.5" x14ac:dyDescent="0.25">
      <c r="B1459" s="998" t="s">
        <v>3236</v>
      </c>
      <c r="C1459" s="1000" t="s">
        <v>3409</v>
      </c>
      <c r="D1459" s="1025" t="s">
        <v>75</v>
      </c>
      <c r="E1459" s="1001"/>
      <c r="F1459" s="1001">
        <v>12</v>
      </c>
      <c r="G1459" s="1001">
        <v>21076</v>
      </c>
      <c r="H1459" s="1001">
        <v>0</v>
      </c>
      <c r="I1459" s="1001">
        <v>0</v>
      </c>
      <c r="J1459" s="1001">
        <v>8</v>
      </c>
      <c r="K1459" s="1001">
        <v>15000</v>
      </c>
      <c r="L1459" s="1001">
        <v>15</v>
      </c>
      <c r="M1459" s="1001">
        <v>20000</v>
      </c>
      <c r="N1459" s="1001">
        <v>16</v>
      </c>
      <c r="O1459" s="1001">
        <v>25000</v>
      </c>
      <c r="P1459" s="1001">
        <v>5</v>
      </c>
      <c r="Q1459" s="1001">
        <v>10000</v>
      </c>
      <c r="R1459" s="1001"/>
      <c r="S1459" s="1004"/>
      <c r="T1459" s="1004"/>
    </row>
    <row r="1460" spans="2:20" s="1003" customFormat="1" ht="38.25" x14ac:dyDescent="0.25">
      <c r="B1460" s="998" t="s">
        <v>3238</v>
      </c>
      <c r="C1460" s="1000" t="s">
        <v>3653</v>
      </c>
      <c r="D1460" s="1025" t="s">
        <v>75</v>
      </c>
      <c r="E1460" s="1001"/>
      <c r="F1460" s="1001">
        <v>13</v>
      </c>
      <c r="G1460" s="1001">
        <v>18037</v>
      </c>
      <c r="H1460" s="1001">
        <v>3</v>
      </c>
      <c r="I1460" s="1001">
        <v>12000</v>
      </c>
      <c r="J1460" s="1001">
        <v>2</v>
      </c>
      <c r="K1460" s="1001">
        <v>11000</v>
      </c>
      <c r="L1460" s="1001">
        <v>4</v>
      </c>
      <c r="M1460" s="1001">
        <v>29000</v>
      </c>
      <c r="N1460" s="1001">
        <v>3</v>
      </c>
      <c r="O1460" s="1001">
        <v>25000</v>
      </c>
      <c r="P1460" s="1001">
        <v>3</v>
      </c>
      <c r="Q1460" s="1001">
        <v>25000</v>
      </c>
      <c r="R1460" s="1001"/>
      <c r="S1460" s="1004"/>
      <c r="T1460" s="1004"/>
    </row>
    <row r="1461" spans="2:20" s="1003" customFormat="1" ht="38.25" x14ac:dyDescent="0.25">
      <c r="B1461" s="1007" t="s">
        <v>3240</v>
      </c>
      <c r="C1461" s="999" t="s">
        <v>3241</v>
      </c>
      <c r="D1461" s="1015" t="s">
        <v>40</v>
      </c>
      <c r="E1461" s="1001"/>
      <c r="F1461" s="1001">
        <v>12</v>
      </c>
      <c r="G1461" s="1001">
        <v>4000</v>
      </c>
      <c r="H1461" s="1001">
        <v>12</v>
      </c>
      <c r="I1461" s="1001">
        <v>7500</v>
      </c>
      <c r="J1461" s="1001">
        <v>12</v>
      </c>
      <c r="K1461" s="1001">
        <v>15000</v>
      </c>
      <c r="L1461" s="1001">
        <v>12</v>
      </c>
      <c r="M1461" s="1001">
        <v>20000</v>
      </c>
      <c r="N1461" s="1001">
        <v>12</v>
      </c>
      <c r="O1461" s="1001">
        <v>30000</v>
      </c>
      <c r="P1461" s="1001">
        <v>12</v>
      </c>
      <c r="Q1461" s="1001">
        <v>32000</v>
      </c>
      <c r="R1461" s="1001"/>
      <c r="S1461" s="1004"/>
      <c r="T1461" s="1004"/>
    </row>
    <row r="1462" spans="2:20" s="1003" customFormat="1" ht="38.25" x14ac:dyDescent="0.25">
      <c r="B1462" s="1007" t="s">
        <v>3242</v>
      </c>
      <c r="C1462" s="999" t="s">
        <v>3160</v>
      </c>
      <c r="D1462" s="1015" t="s">
        <v>40</v>
      </c>
      <c r="E1462" s="1001"/>
      <c r="F1462" s="1001">
        <v>12</v>
      </c>
      <c r="G1462" s="1001">
        <v>7500</v>
      </c>
      <c r="H1462" s="1001">
        <v>12</v>
      </c>
      <c r="I1462" s="1001">
        <v>5000</v>
      </c>
      <c r="J1462" s="1001">
        <v>12</v>
      </c>
      <c r="K1462" s="1001">
        <v>25000</v>
      </c>
      <c r="L1462" s="1001">
        <v>12</v>
      </c>
      <c r="M1462" s="1001">
        <v>30000</v>
      </c>
      <c r="N1462" s="1001">
        <v>12</v>
      </c>
      <c r="O1462" s="1001">
        <v>40000</v>
      </c>
      <c r="P1462" s="1001">
        <v>12</v>
      </c>
      <c r="Q1462" s="1001">
        <v>43000</v>
      </c>
      <c r="R1462" s="1001"/>
      <c r="S1462" s="1004"/>
      <c r="T1462" s="1004"/>
    </row>
    <row r="1463" spans="2:20" s="1003" customFormat="1" ht="38.25" x14ac:dyDescent="0.25">
      <c r="B1463" s="1007" t="s">
        <v>3243</v>
      </c>
      <c r="C1463" s="999" t="s">
        <v>3244</v>
      </c>
      <c r="D1463" s="1015" t="s">
        <v>40</v>
      </c>
      <c r="E1463" s="1001"/>
      <c r="F1463" s="1001">
        <v>12</v>
      </c>
      <c r="G1463" s="1001">
        <v>2000</v>
      </c>
      <c r="H1463" s="1001">
        <v>0</v>
      </c>
      <c r="I1463" s="1001">
        <v>0</v>
      </c>
      <c r="J1463" s="1001">
        <v>12</v>
      </c>
      <c r="K1463" s="1001">
        <v>7500</v>
      </c>
      <c r="L1463" s="1001">
        <v>12</v>
      </c>
      <c r="M1463" s="1001">
        <v>9000</v>
      </c>
      <c r="N1463" s="1001">
        <v>12</v>
      </c>
      <c r="O1463" s="1001">
        <v>7000</v>
      </c>
      <c r="P1463" s="1001">
        <v>12</v>
      </c>
      <c r="Q1463" s="1001">
        <v>10000</v>
      </c>
      <c r="R1463" s="1001"/>
      <c r="S1463" s="1004"/>
      <c r="T1463" s="1004"/>
    </row>
    <row r="1464" spans="2:20" s="1003" customFormat="1" ht="38.25" x14ac:dyDescent="0.25">
      <c r="B1464" s="1007" t="s">
        <v>404</v>
      </c>
      <c r="C1464" s="999" t="s">
        <v>3654</v>
      </c>
      <c r="D1464" s="1015" t="s">
        <v>324</v>
      </c>
      <c r="E1464" s="1001"/>
      <c r="F1464" s="1001">
        <v>0</v>
      </c>
      <c r="G1464" s="1001">
        <v>0</v>
      </c>
      <c r="H1464" s="1001">
        <v>0</v>
      </c>
      <c r="I1464" s="1001">
        <v>0</v>
      </c>
      <c r="J1464" s="1001">
        <v>1</v>
      </c>
      <c r="K1464" s="1001">
        <v>100000</v>
      </c>
      <c r="L1464" s="1001">
        <v>1</v>
      </c>
      <c r="M1464" s="1001">
        <v>50000</v>
      </c>
      <c r="N1464" s="1001">
        <v>0</v>
      </c>
      <c r="O1464" s="1001">
        <v>0</v>
      </c>
      <c r="P1464" s="1001">
        <v>1</v>
      </c>
      <c r="Q1464" s="1001">
        <v>150000</v>
      </c>
      <c r="R1464" s="1001"/>
      <c r="S1464" s="1004"/>
      <c r="T1464" s="1004"/>
    </row>
    <row r="1465" spans="2:20" s="1003" customFormat="1" ht="63.75" x14ac:dyDescent="0.25">
      <c r="B1465" s="1106" t="s">
        <v>3245</v>
      </c>
      <c r="C1465" s="1000" t="s">
        <v>3246</v>
      </c>
      <c r="D1465" s="1025" t="s">
        <v>79</v>
      </c>
      <c r="E1465" s="1001">
        <v>10</v>
      </c>
      <c r="F1465" s="1001">
        <f>F1466</f>
        <v>2</v>
      </c>
      <c r="G1465" s="1001">
        <f>G1466</f>
        <v>2800</v>
      </c>
      <c r="H1465" s="1001">
        <f t="shared" ref="H1465:Q1465" si="134">H1466</f>
        <v>2</v>
      </c>
      <c r="I1465" s="1001">
        <f t="shared" si="134"/>
        <v>2500</v>
      </c>
      <c r="J1465" s="1001">
        <f t="shared" si="134"/>
        <v>2</v>
      </c>
      <c r="K1465" s="1001">
        <f t="shared" si="134"/>
        <v>7500</v>
      </c>
      <c r="L1465" s="1001">
        <f t="shared" si="134"/>
        <v>2</v>
      </c>
      <c r="M1465" s="1001">
        <f t="shared" si="134"/>
        <v>10000</v>
      </c>
      <c r="N1465" s="1001">
        <f t="shared" si="134"/>
        <v>2</v>
      </c>
      <c r="O1465" s="1001">
        <f t="shared" si="134"/>
        <v>13000</v>
      </c>
      <c r="P1465" s="1001">
        <f t="shared" si="134"/>
        <v>2</v>
      </c>
      <c r="Q1465" s="1001">
        <f t="shared" si="134"/>
        <v>14000</v>
      </c>
      <c r="R1465" s="1001">
        <f>E1465+F1465+H1465+J1465+L1465+N1465</f>
        <v>20</v>
      </c>
      <c r="S1465" s="1004"/>
      <c r="T1465" s="1004"/>
    </row>
    <row r="1466" spans="2:20" s="1003" customFormat="1" ht="102" x14ac:dyDescent="0.25">
      <c r="B1466" s="998" t="s">
        <v>80</v>
      </c>
      <c r="C1466" s="1000" t="s">
        <v>3247</v>
      </c>
      <c r="D1466" s="1025" t="s">
        <v>79</v>
      </c>
      <c r="E1466" s="1001"/>
      <c r="F1466" s="1001">
        <v>2</v>
      </c>
      <c r="G1466" s="1001">
        <v>2800</v>
      </c>
      <c r="H1466" s="1001">
        <v>2</v>
      </c>
      <c r="I1466" s="1001">
        <v>2500</v>
      </c>
      <c r="J1466" s="1001">
        <v>2</v>
      </c>
      <c r="K1466" s="1001">
        <v>7500</v>
      </c>
      <c r="L1466" s="1001">
        <v>2</v>
      </c>
      <c r="M1466" s="1001">
        <v>10000</v>
      </c>
      <c r="N1466" s="1001">
        <v>2</v>
      </c>
      <c r="O1466" s="1001">
        <v>13000</v>
      </c>
      <c r="P1466" s="1001">
        <v>2</v>
      </c>
      <c r="Q1466" s="1001">
        <v>14000</v>
      </c>
      <c r="R1466" s="1001"/>
      <c r="S1466" s="1004"/>
      <c r="T1466" s="1004"/>
    </row>
    <row r="1467" spans="2:20" s="1003" customFormat="1" ht="48" x14ac:dyDescent="0.25">
      <c r="B1467" s="1106" t="s">
        <v>3248</v>
      </c>
      <c r="C1467" s="1000" t="s">
        <v>3249</v>
      </c>
      <c r="D1467" s="1025" t="s">
        <v>79</v>
      </c>
      <c r="E1467" s="1001">
        <v>5</v>
      </c>
      <c r="F1467" s="1001">
        <v>1</v>
      </c>
      <c r="G1467" s="1001">
        <f>G1468</f>
        <v>4500</v>
      </c>
      <c r="H1467" s="1001">
        <f t="shared" ref="H1467:Q1467" si="135">H1468</f>
        <v>2</v>
      </c>
      <c r="I1467" s="1001">
        <f t="shared" si="135"/>
        <v>4050</v>
      </c>
      <c r="J1467" s="1001">
        <f t="shared" si="135"/>
        <v>2</v>
      </c>
      <c r="K1467" s="1001">
        <f t="shared" si="135"/>
        <v>10000</v>
      </c>
      <c r="L1467" s="1001">
        <f t="shared" si="135"/>
        <v>2</v>
      </c>
      <c r="M1467" s="1001">
        <f t="shared" si="135"/>
        <v>15000</v>
      </c>
      <c r="N1467" s="1001">
        <f t="shared" si="135"/>
        <v>2</v>
      </c>
      <c r="O1467" s="1001">
        <f t="shared" si="135"/>
        <v>17000</v>
      </c>
      <c r="P1467" s="1001">
        <f t="shared" si="135"/>
        <v>2</v>
      </c>
      <c r="Q1467" s="1001">
        <f t="shared" si="135"/>
        <v>19000</v>
      </c>
      <c r="R1467" s="1001">
        <f>E1467+F1467+H1467+J1467+L1467+N1467</f>
        <v>14</v>
      </c>
      <c r="S1467" s="1004"/>
      <c r="T1467" s="1004"/>
    </row>
    <row r="1468" spans="2:20" s="1003" customFormat="1" ht="63.75" x14ac:dyDescent="0.25">
      <c r="B1468" s="998" t="s">
        <v>1712</v>
      </c>
      <c r="C1468" s="1000" t="s">
        <v>3250</v>
      </c>
      <c r="D1468" s="1025"/>
      <c r="E1468" s="1001"/>
      <c r="F1468" s="1001">
        <v>1</v>
      </c>
      <c r="G1468" s="1001">
        <v>4500</v>
      </c>
      <c r="H1468" s="1001">
        <v>2</v>
      </c>
      <c r="I1468" s="1001">
        <v>4050</v>
      </c>
      <c r="J1468" s="1001">
        <v>2</v>
      </c>
      <c r="K1468" s="1001">
        <v>10000</v>
      </c>
      <c r="L1468" s="1001">
        <v>2</v>
      </c>
      <c r="M1468" s="1001">
        <v>15000</v>
      </c>
      <c r="N1468" s="1001">
        <v>2</v>
      </c>
      <c r="O1468" s="1001">
        <v>17000</v>
      </c>
      <c r="P1468" s="1001">
        <v>2</v>
      </c>
      <c r="Q1468" s="1001">
        <v>19000</v>
      </c>
      <c r="R1468" s="1001"/>
      <c r="S1468" s="1004"/>
      <c r="T1468" s="1004"/>
    </row>
    <row r="1469" spans="2:20" s="1003" customFormat="1" ht="63.75" customHeight="1" x14ac:dyDescent="0.25">
      <c r="B1469" s="1065" t="s">
        <v>3251</v>
      </c>
      <c r="C1469" s="1000" t="s">
        <v>3252</v>
      </c>
      <c r="D1469" s="1025" t="s">
        <v>79</v>
      </c>
      <c r="E1469" s="1001">
        <v>5</v>
      </c>
      <c r="F1469" s="1001">
        <v>1</v>
      </c>
      <c r="G1469" s="2114">
        <f>SUM(G1471:G1472)</f>
        <v>9900</v>
      </c>
      <c r="H1469" s="1001">
        <v>1</v>
      </c>
      <c r="I1469" s="2114">
        <f>SUM(I1471:I1472)</f>
        <v>20500</v>
      </c>
      <c r="J1469" s="1001">
        <v>1</v>
      </c>
      <c r="K1469" s="2114">
        <f>SUM(K1471:K1472)</f>
        <v>38000</v>
      </c>
      <c r="L1469" s="1001">
        <v>1</v>
      </c>
      <c r="M1469" s="2114">
        <f>SUM(M1471:M1472)</f>
        <v>43500</v>
      </c>
      <c r="N1469" s="1001">
        <v>1</v>
      </c>
      <c r="O1469" s="2114">
        <f>SUM(O1471:O1472)</f>
        <v>49000</v>
      </c>
      <c r="P1469" s="1001">
        <v>1</v>
      </c>
      <c r="Q1469" s="2114">
        <f>SUM(Q1471:Q1472)</f>
        <v>54500</v>
      </c>
      <c r="R1469" s="1001">
        <f>E1469+F1469+H1469+J1469+L1469+N1469</f>
        <v>10</v>
      </c>
      <c r="S1469" s="1004"/>
      <c r="T1469" s="1004"/>
    </row>
    <row r="1470" spans="2:20" s="1003" customFormat="1" ht="38.25" x14ac:dyDescent="0.25">
      <c r="B1470" s="1066"/>
      <c r="C1470" s="1000" t="s">
        <v>3253</v>
      </c>
      <c r="D1470" s="1025" t="s">
        <v>79</v>
      </c>
      <c r="E1470" s="1001">
        <v>5</v>
      </c>
      <c r="F1470" s="1001">
        <v>1</v>
      </c>
      <c r="G1470" s="2114"/>
      <c r="H1470" s="1001">
        <v>1</v>
      </c>
      <c r="I1470" s="2114"/>
      <c r="J1470" s="1001">
        <v>1</v>
      </c>
      <c r="K1470" s="2114"/>
      <c r="L1470" s="1001">
        <v>1</v>
      </c>
      <c r="M1470" s="2114"/>
      <c r="N1470" s="1001">
        <v>1</v>
      </c>
      <c r="O1470" s="2114"/>
      <c r="P1470" s="1001">
        <v>1</v>
      </c>
      <c r="Q1470" s="2114"/>
      <c r="R1470" s="1001">
        <f>E1470+F1470+H1470+J1470+L1470+N1470</f>
        <v>10</v>
      </c>
      <c r="S1470" s="1004"/>
      <c r="T1470" s="1004"/>
    </row>
    <row r="1471" spans="2:20" s="1003" customFormat="1" ht="38.25" x14ac:dyDescent="0.25">
      <c r="B1471" s="998" t="s">
        <v>3254</v>
      </c>
      <c r="C1471" s="1000" t="s">
        <v>3255</v>
      </c>
      <c r="D1471" s="1025" t="s">
        <v>103</v>
      </c>
      <c r="E1471" s="1001"/>
      <c r="F1471" s="1001">
        <v>2</v>
      </c>
      <c r="G1471" s="1001">
        <v>9900</v>
      </c>
      <c r="H1471" s="1001">
        <v>2</v>
      </c>
      <c r="I1471" s="1001">
        <v>13000</v>
      </c>
      <c r="J1471" s="1001">
        <v>2</v>
      </c>
      <c r="K1471" s="1001">
        <v>30000</v>
      </c>
      <c r="L1471" s="1001">
        <v>2</v>
      </c>
      <c r="M1471" s="1001">
        <v>35000</v>
      </c>
      <c r="N1471" s="1001">
        <v>2</v>
      </c>
      <c r="O1471" s="1001">
        <v>40000</v>
      </c>
      <c r="P1471" s="1001">
        <v>2</v>
      </c>
      <c r="Q1471" s="1001">
        <v>45000</v>
      </c>
      <c r="R1471" s="1001"/>
      <c r="S1471" s="1004"/>
      <c r="T1471" s="1004"/>
    </row>
    <row r="1472" spans="2:20" s="1003" customFormat="1" ht="51" x14ac:dyDescent="0.25">
      <c r="B1472" s="998" t="s">
        <v>3256</v>
      </c>
      <c r="C1472" s="1000" t="s">
        <v>3257</v>
      </c>
      <c r="D1472" s="1025" t="s">
        <v>103</v>
      </c>
      <c r="E1472" s="1001"/>
      <c r="F1472" s="1001">
        <v>0</v>
      </c>
      <c r="G1472" s="1001">
        <v>0</v>
      </c>
      <c r="H1472" s="1001">
        <v>9</v>
      </c>
      <c r="I1472" s="1001">
        <v>7500</v>
      </c>
      <c r="J1472" s="1001">
        <v>9</v>
      </c>
      <c r="K1472" s="1001">
        <v>8000</v>
      </c>
      <c r="L1472" s="1001">
        <v>9</v>
      </c>
      <c r="M1472" s="1001">
        <v>8500</v>
      </c>
      <c r="N1472" s="1001">
        <v>9</v>
      </c>
      <c r="O1472" s="1001">
        <v>9000</v>
      </c>
      <c r="P1472" s="1001">
        <v>9</v>
      </c>
      <c r="Q1472" s="1001">
        <v>9500</v>
      </c>
      <c r="R1472" s="1001"/>
      <c r="S1472" s="1004"/>
      <c r="T1472" s="1004"/>
    </row>
    <row r="1473" spans="2:20" s="1003" customFormat="1" ht="51" x14ac:dyDescent="0.25">
      <c r="B1473" s="1106" t="s">
        <v>3420</v>
      </c>
      <c r="C1473" s="1000" t="s">
        <v>3386</v>
      </c>
      <c r="D1473" s="1025" t="s">
        <v>19</v>
      </c>
      <c r="E1473" s="1001">
        <v>100</v>
      </c>
      <c r="F1473" s="1001">
        <v>100</v>
      </c>
      <c r="G1473" s="1001">
        <f>G1474</f>
        <v>53000</v>
      </c>
      <c r="H1473" s="1001">
        <v>100</v>
      </c>
      <c r="I1473" s="1001">
        <f>I1474</f>
        <v>51000</v>
      </c>
      <c r="J1473" s="1001">
        <v>100</v>
      </c>
      <c r="K1473" s="1001">
        <f>K1474</f>
        <v>62340</v>
      </c>
      <c r="L1473" s="1001">
        <v>100</v>
      </c>
      <c r="M1473" s="1001">
        <f>M1474</f>
        <v>65000</v>
      </c>
      <c r="N1473" s="1001">
        <v>100</v>
      </c>
      <c r="O1473" s="1001">
        <f>O1474</f>
        <v>65000</v>
      </c>
      <c r="P1473" s="1001">
        <v>100</v>
      </c>
      <c r="Q1473" s="1001">
        <f>Q1474</f>
        <v>67000</v>
      </c>
      <c r="R1473" s="1001">
        <v>100</v>
      </c>
      <c r="S1473" s="1004"/>
      <c r="T1473" s="1004"/>
    </row>
    <row r="1474" spans="2:20" s="1003" customFormat="1" ht="25.5" x14ac:dyDescent="0.25">
      <c r="B1474" s="998" t="s">
        <v>3421</v>
      </c>
      <c r="C1474" s="1000" t="s">
        <v>3422</v>
      </c>
      <c r="D1474" s="1025" t="s">
        <v>40</v>
      </c>
      <c r="E1474" s="1001"/>
      <c r="F1474" s="1001">
        <v>12</v>
      </c>
      <c r="G1474" s="1001">
        <v>53000</v>
      </c>
      <c r="H1474" s="1001">
        <v>12</v>
      </c>
      <c r="I1474" s="1001">
        <v>51000</v>
      </c>
      <c r="J1474" s="1001">
        <v>12</v>
      </c>
      <c r="K1474" s="1001">
        <v>62340</v>
      </c>
      <c r="L1474" s="1001">
        <v>12</v>
      </c>
      <c r="M1474" s="1001">
        <v>65000</v>
      </c>
      <c r="N1474" s="1001">
        <v>12</v>
      </c>
      <c r="O1474" s="1001">
        <v>65000</v>
      </c>
      <c r="P1474" s="1001">
        <v>12</v>
      </c>
      <c r="Q1474" s="1001">
        <v>67000</v>
      </c>
      <c r="R1474" s="1001"/>
      <c r="S1474" s="1004"/>
      <c r="T1474" s="1004"/>
    </row>
    <row r="1475" spans="2:20" s="1003" customFormat="1" ht="84" x14ac:dyDescent="0.25">
      <c r="B1475" s="1106" t="s">
        <v>1743</v>
      </c>
      <c r="C1475" s="1000" t="s">
        <v>3265</v>
      </c>
      <c r="D1475" s="1025" t="s">
        <v>19</v>
      </c>
      <c r="E1475" s="1001">
        <v>50</v>
      </c>
      <c r="F1475" s="1001">
        <v>60</v>
      </c>
      <c r="G1475" s="1001">
        <f>SUM(G1476:G1477)</f>
        <v>25200</v>
      </c>
      <c r="H1475" s="1001">
        <v>70</v>
      </c>
      <c r="I1475" s="1001">
        <f>SUM(I1476:I1477)</f>
        <v>15700</v>
      </c>
      <c r="J1475" s="1001">
        <v>80</v>
      </c>
      <c r="K1475" s="1001">
        <f>SUM(K1476:K1477)</f>
        <v>25000</v>
      </c>
      <c r="L1475" s="1001">
        <v>90</v>
      </c>
      <c r="M1475" s="1001">
        <f>SUM(M1476:M1477)</f>
        <v>35000</v>
      </c>
      <c r="N1475" s="1001">
        <v>100</v>
      </c>
      <c r="O1475" s="1001">
        <f>SUM(O1476:O1477)</f>
        <v>46000</v>
      </c>
      <c r="P1475" s="1001">
        <v>100</v>
      </c>
      <c r="Q1475" s="1001">
        <f>SUM(Q1476:Q1477)</f>
        <v>51000</v>
      </c>
      <c r="R1475" s="1001">
        <v>100</v>
      </c>
      <c r="S1475" s="1004"/>
      <c r="T1475" s="1004"/>
    </row>
    <row r="1476" spans="2:20" s="1003" customFormat="1" ht="25.5" x14ac:dyDescent="0.25">
      <c r="B1476" s="998" t="s">
        <v>3266</v>
      </c>
      <c r="C1476" s="1000" t="s">
        <v>3267</v>
      </c>
      <c r="D1476" s="1025" t="s">
        <v>103</v>
      </c>
      <c r="E1476" s="1001"/>
      <c r="F1476" s="1001">
        <v>9</v>
      </c>
      <c r="G1476" s="1001">
        <v>20700</v>
      </c>
      <c r="H1476" s="1001">
        <v>9</v>
      </c>
      <c r="I1476" s="1001">
        <v>12600</v>
      </c>
      <c r="J1476" s="1001">
        <v>9</v>
      </c>
      <c r="K1476" s="1001">
        <v>16000</v>
      </c>
      <c r="L1476" s="1001">
        <v>9</v>
      </c>
      <c r="M1476" s="1001">
        <v>21000</v>
      </c>
      <c r="N1476" s="1001">
        <v>9</v>
      </c>
      <c r="O1476" s="1001">
        <v>26000</v>
      </c>
      <c r="P1476" s="1001">
        <v>9</v>
      </c>
      <c r="Q1476" s="1001">
        <v>28000</v>
      </c>
      <c r="R1476" s="1001"/>
      <c r="S1476" s="1004"/>
      <c r="T1476" s="1004"/>
    </row>
    <row r="1477" spans="2:20" s="1003" customFormat="1" ht="76.5" x14ac:dyDescent="0.25">
      <c r="B1477" s="998" t="s">
        <v>3390</v>
      </c>
      <c r="C1477" s="1000" t="s">
        <v>3273</v>
      </c>
      <c r="D1477" s="1025" t="s">
        <v>103</v>
      </c>
      <c r="E1477" s="1001"/>
      <c r="F1477" s="1001">
        <v>9</v>
      </c>
      <c r="G1477" s="1001">
        <v>4500</v>
      </c>
      <c r="H1477" s="1001">
        <v>9</v>
      </c>
      <c r="I1477" s="1001">
        <v>3100</v>
      </c>
      <c r="J1477" s="1001">
        <v>10</v>
      </c>
      <c r="K1477" s="1001">
        <v>9000</v>
      </c>
      <c r="L1477" s="1001">
        <v>10</v>
      </c>
      <c r="M1477" s="1001">
        <v>14000</v>
      </c>
      <c r="N1477" s="1001">
        <v>10</v>
      </c>
      <c r="O1477" s="1001">
        <v>20000</v>
      </c>
      <c r="P1477" s="1001">
        <v>10</v>
      </c>
      <c r="Q1477" s="1001">
        <v>23000</v>
      </c>
      <c r="R1477" s="1001"/>
      <c r="S1477" s="1004"/>
      <c r="T1477" s="1004"/>
    </row>
    <row r="1478" spans="2:20" s="1003" customFormat="1" ht="76.5" customHeight="1" x14ac:dyDescent="0.25">
      <c r="B1478" s="1063" t="s">
        <v>3425</v>
      </c>
      <c r="C1478" s="1000" t="s">
        <v>3274</v>
      </c>
      <c r="D1478" s="1025" t="s">
        <v>79</v>
      </c>
      <c r="E1478" s="1001">
        <v>1</v>
      </c>
      <c r="F1478" s="1001">
        <v>1</v>
      </c>
      <c r="G1478" s="1001">
        <f>G1479</f>
        <v>2700</v>
      </c>
      <c r="H1478" s="1001">
        <v>1</v>
      </c>
      <c r="I1478" s="1001">
        <f>I1479</f>
        <v>2550</v>
      </c>
      <c r="J1478" s="1001">
        <v>1</v>
      </c>
      <c r="K1478" s="1001">
        <f>K1479</f>
        <v>6500</v>
      </c>
      <c r="L1478" s="1001">
        <v>1</v>
      </c>
      <c r="M1478" s="1001">
        <f>M1479</f>
        <v>8500</v>
      </c>
      <c r="N1478" s="1001">
        <v>1</v>
      </c>
      <c r="O1478" s="1001">
        <f>O1479</f>
        <v>10000</v>
      </c>
      <c r="P1478" s="1001">
        <v>1</v>
      </c>
      <c r="Q1478" s="1001">
        <f>Q1479</f>
        <v>13000</v>
      </c>
      <c r="R1478" s="1001">
        <f>E1478+F1478+H1478+J1478+L1478+N1478</f>
        <v>6</v>
      </c>
      <c r="S1478" s="1004"/>
      <c r="T1478" s="1004"/>
    </row>
    <row r="1479" spans="2:20" s="1003" customFormat="1" ht="25.5" x14ac:dyDescent="0.25">
      <c r="B1479" s="1008" t="s">
        <v>3277</v>
      </c>
      <c r="C1479" s="1000" t="s">
        <v>3278</v>
      </c>
      <c r="D1479" s="1025" t="s">
        <v>103</v>
      </c>
      <c r="E1479" s="1001"/>
      <c r="F1479" s="1001">
        <v>12</v>
      </c>
      <c r="G1479" s="1001">
        <v>2700</v>
      </c>
      <c r="H1479" s="1001">
        <v>12</v>
      </c>
      <c r="I1479" s="1001">
        <v>2550</v>
      </c>
      <c r="J1479" s="1001">
        <v>12</v>
      </c>
      <c r="K1479" s="1001">
        <v>6500</v>
      </c>
      <c r="L1479" s="1001">
        <v>12</v>
      </c>
      <c r="M1479" s="1001">
        <v>8500</v>
      </c>
      <c r="N1479" s="1001">
        <v>12</v>
      </c>
      <c r="O1479" s="1001">
        <v>10000</v>
      </c>
      <c r="P1479" s="1001">
        <v>12</v>
      </c>
      <c r="Q1479" s="1001">
        <v>13000</v>
      </c>
      <c r="R1479" s="1001"/>
      <c r="S1479" s="1004"/>
      <c r="T1479" s="1004"/>
    </row>
    <row r="1480" spans="2:20" s="1003" customFormat="1" ht="63.75" customHeight="1" x14ac:dyDescent="0.25">
      <c r="B1480" s="1063" t="s">
        <v>3280</v>
      </c>
      <c r="C1480" s="1000" t="s">
        <v>3279</v>
      </c>
      <c r="D1480" s="1025" t="s">
        <v>327</v>
      </c>
      <c r="E1480" s="1001">
        <v>16</v>
      </c>
      <c r="F1480" s="1001">
        <v>20</v>
      </c>
      <c r="G1480" s="1001">
        <f>SUM(G1481:G1482)</f>
        <v>4500</v>
      </c>
      <c r="H1480" s="1001">
        <v>24</v>
      </c>
      <c r="I1480" s="1001">
        <f>SUM(I1481:I1482)</f>
        <v>4000</v>
      </c>
      <c r="J1480" s="1001">
        <v>28</v>
      </c>
      <c r="K1480" s="1001">
        <f>SUM(K1481:K1482)</f>
        <v>17500</v>
      </c>
      <c r="L1480" s="1001">
        <v>32</v>
      </c>
      <c r="M1480" s="1001">
        <f>SUM(M1481:M1482)</f>
        <v>21000</v>
      </c>
      <c r="N1480" s="1001">
        <v>36</v>
      </c>
      <c r="O1480" s="1001">
        <f>SUM(O1481:O1482)</f>
        <v>27000</v>
      </c>
      <c r="P1480" s="1001">
        <v>40</v>
      </c>
      <c r="Q1480" s="1001">
        <f>SUM(Q1481:Q1482)</f>
        <v>31000</v>
      </c>
      <c r="R1480" s="1001">
        <f>N1480</f>
        <v>36</v>
      </c>
      <c r="S1480" s="1004"/>
      <c r="T1480" s="1004"/>
    </row>
    <row r="1481" spans="2:20" s="1003" customFormat="1" ht="38.25" x14ac:dyDescent="0.25">
      <c r="B1481" s="1008" t="s">
        <v>1298</v>
      </c>
      <c r="C1481" s="1000" t="s">
        <v>3426</v>
      </c>
      <c r="D1481" s="1025" t="s">
        <v>327</v>
      </c>
      <c r="E1481" s="1001"/>
      <c r="F1481" s="1001">
        <v>9</v>
      </c>
      <c r="G1481" s="1001">
        <v>2500</v>
      </c>
      <c r="H1481" s="1001">
        <v>0</v>
      </c>
      <c r="I1481" s="1001">
        <v>0</v>
      </c>
      <c r="J1481" s="1001">
        <v>14</v>
      </c>
      <c r="K1481" s="1001">
        <v>7500</v>
      </c>
      <c r="L1481" s="1001">
        <v>16</v>
      </c>
      <c r="M1481" s="1001">
        <v>9000</v>
      </c>
      <c r="N1481" s="1001">
        <v>18</v>
      </c>
      <c r="O1481" s="1001">
        <v>12000</v>
      </c>
      <c r="P1481" s="1001">
        <v>20</v>
      </c>
      <c r="Q1481" s="1001">
        <v>15000</v>
      </c>
      <c r="R1481" s="1001"/>
      <c r="S1481" s="1004"/>
      <c r="T1481" s="1004"/>
    </row>
    <row r="1482" spans="2:20" s="1003" customFormat="1" ht="38.25" x14ac:dyDescent="0.25">
      <c r="B1482" s="1008" t="s">
        <v>3282</v>
      </c>
      <c r="C1482" s="1000" t="s">
        <v>3283</v>
      </c>
      <c r="D1482" s="1025" t="s">
        <v>327</v>
      </c>
      <c r="E1482" s="1001"/>
      <c r="F1482" s="1001">
        <v>2</v>
      </c>
      <c r="G1482" s="1001">
        <v>2000</v>
      </c>
      <c r="H1482" s="1001">
        <v>2</v>
      </c>
      <c r="I1482" s="1001">
        <v>4000</v>
      </c>
      <c r="J1482" s="1001">
        <v>4</v>
      </c>
      <c r="K1482" s="1001">
        <v>10000</v>
      </c>
      <c r="L1482" s="1001">
        <v>5</v>
      </c>
      <c r="M1482" s="1001">
        <v>12000</v>
      </c>
      <c r="N1482" s="1001">
        <v>5</v>
      </c>
      <c r="O1482" s="1001">
        <v>15000</v>
      </c>
      <c r="P1482" s="1001">
        <v>6</v>
      </c>
      <c r="Q1482" s="1001">
        <v>16000</v>
      </c>
      <c r="R1482" s="1001"/>
      <c r="S1482" s="1004"/>
      <c r="T1482" s="1004"/>
    </row>
    <row r="1483" spans="2:20" s="1003" customFormat="1" ht="60" x14ac:dyDescent="0.25">
      <c r="B1483" s="1106" t="s">
        <v>3284</v>
      </c>
      <c r="C1483" s="1009" t="s">
        <v>3285</v>
      </c>
      <c r="D1483" s="1025" t="s">
        <v>364</v>
      </c>
      <c r="E1483" s="1001">
        <v>100</v>
      </c>
      <c r="F1483" s="1001">
        <v>90</v>
      </c>
      <c r="G1483" s="1001">
        <f>G1484</f>
        <v>3500</v>
      </c>
      <c r="H1483" s="1001">
        <v>80</v>
      </c>
      <c r="I1483" s="1001">
        <f>I1484</f>
        <v>5000</v>
      </c>
      <c r="J1483" s="1001">
        <v>70</v>
      </c>
      <c r="K1483" s="1001">
        <f>K1484</f>
        <v>5000</v>
      </c>
      <c r="L1483" s="1001">
        <v>60</v>
      </c>
      <c r="M1483" s="1001">
        <f>M1484</f>
        <v>7500</v>
      </c>
      <c r="N1483" s="1001">
        <v>50</v>
      </c>
      <c r="O1483" s="1001">
        <f>O1484</f>
        <v>7500</v>
      </c>
      <c r="P1483" s="1001">
        <v>50</v>
      </c>
      <c r="Q1483" s="1001">
        <f>Q1484</f>
        <v>10000</v>
      </c>
      <c r="R1483" s="1001">
        <f>N1483</f>
        <v>50</v>
      </c>
      <c r="S1483" s="1004"/>
      <c r="T1483" s="1004"/>
    </row>
    <row r="1484" spans="2:20" s="1003" customFormat="1" ht="63.75" x14ac:dyDescent="0.25">
      <c r="B1484" s="998" t="s">
        <v>3286</v>
      </c>
      <c r="C1484" s="1009" t="s">
        <v>3287</v>
      </c>
      <c r="D1484" s="1025" t="s">
        <v>100</v>
      </c>
      <c r="E1484" s="1001">
        <v>145</v>
      </c>
      <c r="F1484" s="1001">
        <v>27</v>
      </c>
      <c r="G1484" s="1001">
        <v>3500</v>
      </c>
      <c r="H1484" s="1001">
        <v>36</v>
      </c>
      <c r="I1484" s="1001">
        <v>5000</v>
      </c>
      <c r="J1484" s="1001">
        <v>36</v>
      </c>
      <c r="K1484" s="1001">
        <v>5000</v>
      </c>
      <c r="L1484" s="1001">
        <v>27</v>
      </c>
      <c r="M1484" s="1001">
        <v>7500</v>
      </c>
      <c r="N1484" s="1001">
        <v>19</v>
      </c>
      <c r="O1484" s="1001">
        <v>7500</v>
      </c>
      <c r="P1484" s="1001">
        <v>27</v>
      </c>
      <c r="Q1484" s="1001">
        <v>10000</v>
      </c>
      <c r="R1484" s="1001"/>
      <c r="S1484" s="1004"/>
      <c r="T1484" s="1004"/>
    </row>
    <row r="1485" spans="2:20" s="1003" customFormat="1" ht="48" x14ac:dyDescent="0.25">
      <c r="B1485" s="1106" t="s">
        <v>3289</v>
      </c>
      <c r="C1485" s="1009" t="s">
        <v>3288</v>
      </c>
      <c r="D1485" s="1025" t="s">
        <v>100</v>
      </c>
      <c r="E1485" s="1001">
        <v>30</v>
      </c>
      <c r="F1485" s="1001">
        <f>F1486</f>
        <v>30</v>
      </c>
      <c r="G1485" s="1001">
        <f t="shared" ref="G1485:Q1485" si="136">G1486</f>
        <v>10000</v>
      </c>
      <c r="H1485" s="1001">
        <f t="shared" si="136"/>
        <v>30</v>
      </c>
      <c r="I1485" s="1001">
        <f t="shared" si="136"/>
        <v>9000</v>
      </c>
      <c r="J1485" s="1001">
        <f t="shared" si="136"/>
        <v>30</v>
      </c>
      <c r="K1485" s="1001">
        <f t="shared" si="136"/>
        <v>13000</v>
      </c>
      <c r="L1485" s="1001">
        <f t="shared" si="136"/>
        <v>30</v>
      </c>
      <c r="M1485" s="1001">
        <f t="shared" si="136"/>
        <v>17000</v>
      </c>
      <c r="N1485" s="1001">
        <f t="shared" si="136"/>
        <v>30</v>
      </c>
      <c r="O1485" s="1001">
        <f t="shared" si="136"/>
        <v>25000</v>
      </c>
      <c r="P1485" s="1001">
        <f t="shared" si="136"/>
        <v>30</v>
      </c>
      <c r="Q1485" s="1001">
        <f t="shared" si="136"/>
        <v>27000</v>
      </c>
      <c r="R1485" s="1001">
        <f>F1485+H1485+J1485+L1485+N1485</f>
        <v>150</v>
      </c>
      <c r="S1485" s="1004"/>
      <c r="T1485" s="1004"/>
    </row>
    <row r="1486" spans="2:20" s="1003" customFormat="1" ht="76.5" x14ac:dyDescent="0.25">
      <c r="B1486" s="998" t="s">
        <v>894</v>
      </c>
      <c r="C1486" s="1009" t="s">
        <v>3290</v>
      </c>
      <c r="D1486" s="1025" t="s">
        <v>100</v>
      </c>
      <c r="E1486" s="1001"/>
      <c r="F1486" s="1001">
        <v>30</v>
      </c>
      <c r="G1486" s="1001">
        <v>10000</v>
      </c>
      <c r="H1486" s="1001">
        <v>30</v>
      </c>
      <c r="I1486" s="1001">
        <v>9000</v>
      </c>
      <c r="J1486" s="1001">
        <v>30</v>
      </c>
      <c r="K1486" s="1001">
        <v>13000</v>
      </c>
      <c r="L1486" s="1001">
        <v>30</v>
      </c>
      <c r="M1486" s="1001">
        <v>17000</v>
      </c>
      <c r="N1486" s="1001">
        <v>30</v>
      </c>
      <c r="O1486" s="1001">
        <v>25000</v>
      </c>
      <c r="P1486" s="1001">
        <v>30</v>
      </c>
      <c r="Q1486" s="1001">
        <v>27000</v>
      </c>
      <c r="R1486" s="1001"/>
      <c r="S1486" s="1004"/>
      <c r="T1486" s="1004"/>
    </row>
    <row r="1487" spans="2:20" s="1003" customFormat="1" ht="60" x14ac:dyDescent="0.25">
      <c r="B1487" s="1063" t="s">
        <v>3292</v>
      </c>
      <c r="C1487" s="1000" t="s">
        <v>3291</v>
      </c>
      <c r="D1487" s="1025" t="s">
        <v>19</v>
      </c>
      <c r="E1487" s="1001">
        <v>100</v>
      </c>
      <c r="F1487" s="1001">
        <v>0</v>
      </c>
      <c r="G1487" s="1001">
        <v>0</v>
      </c>
      <c r="H1487" s="1001"/>
      <c r="I1487" s="1001">
        <f>I1488</f>
        <v>0</v>
      </c>
      <c r="J1487" s="1001"/>
      <c r="K1487" s="1001">
        <f>K1488</f>
        <v>0</v>
      </c>
      <c r="L1487" s="1001">
        <v>100</v>
      </c>
      <c r="M1487" s="1001">
        <f>M1488</f>
        <v>18000</v>
      </c>
      <c r="N1487" s="1001"/>
      <c r="O1487" s="1001">
        <f>O1488</f>
        <v>0</v>
      </c>
      <c r="P1487" s="1001"/>
      <c r="Q1487" s="1001">
        <f>Q1488</f>
        <v>0</v>
      </c>
      <c r="R1487" s="1001">
        <f>L1487</f>
        <v>100</v>
      </c>
      <c r="S1487" s="1004"/>
      <c r="T1487" s="1004"/>
    </row>
    <row r="1488" spans="2:20" s="1003" customFormat="1" ht="38.25" x14ac:dyDescent="0.25">
      <c r="B1488" s="1008" t="s">
        <v>3293</v>
      </c>
      <c r="C1488" s="1000" t="s">
        <v>3294</v>
      </c>
      <c r="D1488" s="1025" t="s">
        <v>103</v>
      </c>
      <c r="E1488" s="1001"/>
      <c r="F1488" s="1001">
        <v>0</v>
      </c>
      <c r="G1488" s="1001">
        <v>0</v>
      </c>
      <c r="H1488" s="1001"/>
      <c r="I1488" s="1001"/>
      <c r="J1488" s="1001"/>
      <c r="K1488" s="1001"/>
      <c r="L1488" s="1001">
        <v>9</v>
      </c>
      <c r="M1488" s="1001">
        <v>18000</v>
      </c>
      <c r="N1488" s="1001"/>
      <c r="O1488" s="1001"/>
      <c r="P1488" s="1001"/>
      <c r="Q1488" s="1001"/>
      <c r="R1488" s="1001"/>
      <c r="S1488" s="1004"/>
      <c r="T1488" s="1004"/>
    </row>
    <row r="1489" spans="2:20" s="1003" customFormat="1" ht="60" x14ac:dyDescent="0.25">
      <c r="B1489" s="1063" t="s">
        <v>3296</v>
      </c>
      <c r="C1489" s="1000" t="s">
        <v>3295</v>
      </c>
      <c r="D1489" s="1025" t="s">
        <v>327</v>
      </c>
      <c r="E1489" s="1001">
        <v>9</v>
      </c>
      <c r="F1489" s="1001">
        <f>F1490</f>
        <v>9</v>
      </c>
      <c r="G1489" s="1001">
        <f t="shared" ref="G1489:Q1489" si="137">G1490</f>
        <v>4000</v>
      </c>
      <c r="H1489" s="1001">
        <f t="shared" si="137"/>
        <v>9</v>
      </c>
      <c r="I1489" s="1001">
        <f t="shared" si="137"/>
        <v>5000</v>
      </c>
      <c r="J1489" s="1001">
        <f t="shared" si="137"/>
        <v>9</v>
      </c>
      <c r="K1489" s="1001">
        <f t="shared" si="137"/>
        <v>6500</v>
      </c>
      <c r="L1489" s="1001">
        <f t="shared" si="137"/>
        <v>9</v>
      </c>
      <c r="M1489" s="1001">
        <f t="shared" si="137"/>
        <v>8500</v>
      </c>
      <c r="N1489" s="1001">
        <f t="shared" si="137"/>
        <v>9</v>
      </c>
      <c r="O1489" s="1001">
        <f t="shared" si="137"/>
        <v>10000</v>
      </c>
      <c r="P1489" s="1001">
        <f t="shared" si="137"/>
        <v>9</v>
      </c>
      <c r="Q1489" s="1001">
        <f t="shared" si="137"/>
        <v>12000</v>
      </c>
      <c r="R1489" s="1001">
        <f>N1489</f>
        <v>9</v>
      </c>
      <c r="S1489" s="1004"/>
      <c r="T1489" s="1004"/>
    </row>
    <row r="1490" spans="2:20" s="1003" customFormat="1" x14ac:dyDescent="0.25">
      <c r="B1490" s="1008" t="s">
        <v>383</v>
      </c>
      <c r="C1490" s="1000" t="s">
        <v>3297</v>
      </c>
      <c r="D1490" s="1025"/>
      <c r="E1490" s="1001"/>
      <c r="F1490" s="1001">
        <v>9</v>
      </c>
      <c r="G1490" s="1001">
        <v>4000</v>
      </c>
      <c r="H1490" s="1001">
        <v>9</v>
      </c>
      <c r="I1490" s="1001">
        <v>5000</v>
      </c>
      <c r="J1490" s="1001">
        <v>9</v>
      </c>
      <c r="K1490" s="1001">
        <v>6500</v>
      </c>
      <c r="L1490" s="1001">
        <v>9</v>
      </c>
      <c r="M1490" s="1001">
        <v>8500</v>
      </c>
      <c r="N1490" s="1001">
        <v>9</v>
      </c>
      <c r="O1490" s="1001">
        <v>10000</v>
      </c>
      <c r="P1490" s="1001">
        <v>9</v>
      </c>
      <c r="Q1490" s="1001">
        <v>12000</v>
      </c>
      <c r="R1490" s="1001"/>
      <c r="S1490" s="1004"/>
      <c r="T1490" s="1004"/>
    </row>
    <row r="1491" spans="2:20" s="1032" customFormat="1" x14ac:dyDescent="0.25">
      <c r="B1491" s="1027" t="s">
        <v>2651</v>
      </c>
      <c r="C1491" s="1033"/>
      <c r="D1491" s="1034"/>
      <c r="E1491" s="1033"/>
      <c r="F1491" s="1033"/>
      <c r="G1491" s="1035">
        <f>G1489+G1487+G1485+G1483+G1480+G1478+G1475+G1473+G1469+G1467+G1465+G1457+G1443</f>
        <v>269321</v>
      </c>
      <c r="H1491" s="1033"/>
      <c r="I1491" s="1035">
        <f>I1489+I1487+I1485+I1483+I1480+I1478+I1475+I1473+I1469+I1467+I1465+I1457+I1443</f>
        <v>259477</v>
      </c>
      <c r="J1491" s="1033"/>
      <c r="K1491" s="1035">
        <f>K1489+K1487+K1485+K1483+K1480+K1478+K1475+K1473+K1469+K1467+K1465+K1457+K1443</f>
        <v>434340</v>
      </c>
      <c r="L1491" s="1033"/>
      <c r="M1491" s="1035">
        <f>M1489+M1487+M1485+M1483+M1480+M1478+M1475+M1473+M1469+M1467+M1465+M1457+M1443</f>
        <v>573250</v>
      </c>
      <c r="N1491" s="1033"/>
      <c r="O1491" s="1035">
        <f>O1489+O1487+O1485+O1483+O1480+O1478+O1475+O1473+O1469+O1467+O1465+O1457+O1443</f>
        <v>652000</v>
      </c>
      <c r="P1491" s="1033"/>
      <c r="Q1491" s="1035">
        <f>Q1489+Q1487+Q1485+Q1483+Q1480+Q1478+Q1475+Q1473+Q1469+Q1467+Q1465+Q1457+Q1443</f>
        <v>712000</v>
      </c>
      <c r="R1491" s="1033"/>
      <c r="S1491" s="1036"/>
      <c r="T1491" s="1036"/>
    </row>
    <row r="1492" spans="2:20" s="1003" customFormat="1" x14ac:dyDescent="0.25">
      <c r="B1492" s="1005"/>
      <c r="C1492" s="1100"/>
      <c r="D1492" s="1000"/>
      <c r="E1492" s="1001"/>
      <c r="F1492" s="1001"/>
      <c r="G1492" s="1001"/>
      <c r="H1492" s="1001"/>
      <c r="I1492" s="1001"/>
      <c r="J1492" s="1001"/>
      <c r="K1492" s="1001"/>
      <c r="L1492" s="1001"/>
      <c r="M1492" s="1001"/>
      <c r="N1492" s="1001"/>
      <c r="O1492" s="1001"/>
      <c r="P1492" s="1001"/>
      <c r="Q1492" s="1001"/>
      <c r="R1492" s="1001"/>
      <c r="S1492" s="1004"/>
      <c r="T1492" s="1004"/>
    </row>
    <row r="1493" spans="2:20" s="1003" customFormat="1" x14ac:dyDescent="0.25">
      <c r="B1493" s="1167" t="s">
        <v>3655</v>
      </c>
      <c r="C1493" s="1100"/>
      <c r="D1493" s="1000"/>
      <c r="E1493" s="1001"/>
      <c r="F1493" s="1001"/>
      <c r="G1493" s="1001"/>
      <c r="H1493" s="1001"/>
      <c r="I1493" s="1001"/>
      <c r="J1493" s="1001"/>
      <c r="K1493" s="1001"/>
      <c r="L1493" s="1001"/>
      <c r="M1493" s="1001"/>
      <c r="N1493" s="1001"/>
      <c r="O1493" s="1001"/>
      <c r="P1493" s="1001"/>
      <c r="Q1493" s="1001"/>
      <c r="R1493" s="1001"/>
      <c r="S1493" s="1004"/>
      <c r="T1493" s="1004"/>
    </row>
    <row r="1494" spans="2:20" s="1003" customFormat="1" ht="51" customHeight="1" x14ac:dyDescent="0.25">
      <c r="B1494" s="998"/>
      <c r="C1494" s="999" t="s">
        <v>3228</v>
      </c>
      <c r="D1494" s="1025" t="s">
        <v>19</v>
      </c>
      <c r="E1494" s="1001">
        <v>90</v>
      </c>
      <c r="F1494" s="1039">
        <v>93</v>
      </c>
      <c r="G1494" s="1039"/>
      <c r="H1494" s="1039">
        <v>94</v>
      </c>
      <c r="I1494" s="1039"/>
      <c r="J1494" s="1039">
        <v>95</v>
      </c>
      <c r="K1494" s="1039"/>
      <c r="L1494" s="1039">
        <v>96</v>
      </c>
      <c r="M1494" s="1039"/>
      <c r="N1494" s="1039">
        <v>97</v>
      </c>
      <c r="O1494" s="1039"/>
      <c r="P1494" s="1039">
        <v>98</v>
      </c>
      <c r="Q1494" s="1039"/>
      <c r="R1494" s="1001">
        <v>97</v>
      </c>
      <c r="S1494" s="1002"/>
      <c r="T1494" s="1002"/>
    </row>
    <row r="1495" spans="2:20" s="1003" customFormat="1" ht="63.75" x14ac:dyDescent="0.25">
      <c r="B1495" s="1106" t="s">
        <v>3229</v>
      </c>
      <c r="C1495" s="1000" t="s">
        <v>1488</v>
      </c>
      <c r="D1495" s="1025" t="s">
        <v>19</v>
      </c>
      <c r="E1495" s="1001">
        <v>100</v>
      </c>
      <c r="F1495" s="1039">
        <v>20</v>
      </c>
      <c r="G1495" s="1039">
        <f>SUM(G1496:G1509)</f>
        <v>61100</v>
      </c>
      <c r="H1495" s="1039">
        <v>20</v>
      </c>
      <c r="I1495" s="1039">
        <f>SUM(I1496:I1509)</f>
        <v>82183</v>
      </c>
      <c r="J1495" s="1039">
        <v>20</v>
      </c>
      <c r="K1495" s="1039">
        <f>SUM(K1496:K1509)</f>
        <v>82850</v>
      </c>
      <c r="L1495" s="1039">
        <v>20</v>
      </c>
      <c r="M1495" s="1039">
        <f>SUM(M1496:M1509)</f>
        <v>90507</v>
      </c>
      <c r="N1495" s="1039">
        <v>20</v>
      </c>
      <c r="O1495" s="1039">
        <f>SUM(O1496:O1509)</f>
        <v>97911</v>
      </c>
      <c r="P1495" s="1039">
        <v>20</v>
      </c>
      <c r="Q1495" s="1039">
        <f>SUM(Q1496:Q1509)</f>
        <v>120000</v>
      </c>
      <c r="R1495" s="1001">
        <v>100</v>
      </c>
      <c r="S1495" s="1004"/>
      <c r="T1495" s="1004"/>
    </row>
    <row r="1496" spans="2:20" s="1003" customFormat="1" ht="25.5" x14ac:dyDescent="0.25">
      <c r="B1496" s="998" t="s">
        <v>124</v>
      </c>
      <c r="C1496" s="1100" t="s">
        <v>3230</v>
      </c>
      <c r="D1496" s="1025" t="s">
        <v>40</v>
      </c>
      <c r="E1496" s="1001">
        <v>12</v>
      </c>
      <c r="F1496" s="1039">
        <v>12</v>
      </c>
      <c r="G1496" s="1039">
        <v>1000</v>
      </c>
      <c r="H1496" s="1039">
        <v>12</v>
      </c>
      <c r="I1496" s="1039">
        <v>1000</v>
      </c>
      <c r="J1496" s="1039">
        <v>12</v>
      </c>
      <c r="K1496" s="1039">
        <v>1100</v>
      </c>
      <c r="L1496" s="1039">
        <v>12</v>
      </c>
      <c r="M1496" s="1039">
        <v>1200</v>
      </c>
      <c r="N1496" s="1039">
        <v>12</v>
      </c>
      <c r="O1496" s="1039">
        <v>1300</v>
      </c>
      <c r="P1496" s="1039">
        <v>12</v>
      </c>
      <c r="Q1496" s="1039">
        <v>1500</v>
      </c>
      <c r="R1496" s="1001"/>
      <c r="S1496" s="1004"/>
      <c r="T1496" s="1004"/>
    </row>
    <row r="1497" spans="2:20" s="1003" customFormat="1" ht="51" x14ac:dyDescent="0.25">
      <c r="B1497" s="1005" t="s">
        <v>126</v>
      </c>
      <c r="C1497" s="1100" t="s">
        <v>2518</v>
      </c>
      <c r="D1497" s="1025" t="s">
        <v>40</v>
      </c>
      <c r="E1497" s="1001">
        <v>12</v>
      </c>
      <c r="F1497" s="1039">
        <v>12</v>
      </c>
      <c r="G1497" s="1039">
        <v>7000</v>
      </c>
      <c r="H1497" s="1039">
        <v>12</v>
      </c>
      <c r="I1497" s="1039">
        <v>6000</v>
      </c>
      <c r="J1497" s="1039">
        <v>12</v>
      </c>
      <c r="K1497" s="1039">
        <v>6500</v>
      </c>
      <c r="L1497" s="1039">
        <v>12</v>
      </c>
      <c r="M1497" s="1039">
        <v>7000</v>
      </c>
      <c r="N1497" s="1039">
        <v>12</v>
      </c>
      <c r="O1497" s="1039">
        <v>7500</v>
      </c>
      <c r="P1497" s="1039">
        <v>12</v>
      </c>
      <c r="Q1497" s="1039">
        <v>8000</v>
      </c>
      <c r="R1497" s="1001"/>
      <c r="S1497" s="1004"/>
      <c r="T1497" s="1004"/>
    </row>
    <row r="1498" spans="2:20" s="1003" customFormat="1" ht="76.5" x14ac:dyDescent="0.25">
      <c r="B1498" s="1005" t="s">
        <v>3231</v>
      </c>
      <c r="C1498" s="1100" t="s">
        <v>2519</v>
      </c>
      <c r="D1498" s="1025" t="s">
        <v>40</v>
      </c>
      <c r="E1498" s="1001">
        <v>12</v>
      </c>
      <c r="F1498" s="1039">
        <v>12</v>
      </c>
      <c r="G1498" s="1039">
        <v>2200</v>
      </c>
      <c r="H1498" s="1039">
        <v>12</v>
      </c>
      <c r="I1498" s="1039">
        <v>22500</v>
      </c>
      <c r="J1498" s="1039">
        <v>12</v>
      </c>
      <c r="K1498" s="1039">
        <v>24750</v>
      </c>
      <c r="L1498" s="1039">
        <v>12</v>
      </c>
      <c r="M1498" s="1039">
        <v>27000</v>
      </c>
      <c r="N1498" s="1039">
        <v>12</v>
      </c>
      <c r="O1498" s="1039">
        <v>30000</v>
      </c>
      <c r="P1498" s="1039">
        <v>12</v>
      </c>
      <c r="Q1498" s="1039">
        <v>35000</v>
      </c>
      <c r="R1498" s="1001"/>
      <c r="S1498" s="1004"/>
      <c r="T1498" s="1004"/>
    </row>
    <row r="1499" spans="2:20" s="1003" customFormat="1" ht="38.25" x14ac:dyDescent="0.25">
      <c r="B1499" s="1005" t="s">
        <v>45</v>
      </c>
      <c r="C1499" s="1100" t="s">
        <v>2520</v>
      </c>
      <c r="D1499" s="1025" t="s">
        <v>40</v>
      </c>
      <c r="E1499" s="1039">
        <v>12</v>
      </c>
      <c r="F1499" s="1039">
        <v>12</v>
      </c>
      <c r="G1499" s="1039">
        <v>15500</v>
      </c>
      <c r="H1499" s="1039">
        <v>12</v>
      </c>
      <c r="I1499" s="1039">
        <v>15500</v>
      </c>
      <c r="J1499" s="1039">
        <v>12</v>
      </c>
      <c r="K1499" s="1039">
        <v>16000</v>
      </c>
      <c r="L1499" s="1039">
        <v>12</v>
      </c>
      <c r="M1499" s="1039">
        <v>17000</v>
      </c>
      <c r="N1499" s="1039">
        <v>12</v>
      </c>
      <c r="O1499" s="1039">
        <v>17500</v>
      </c>
      <c r="P1499" s="1039">
        <v>12</v>
      </c>
      <c r="Q1499" s="1039">
        <v>18000</v>
      </c>
      <c r="R1499" s="1039"/>
      <c r="S1499" s="1004"/>
      <c r="T1499" s="1004"/>
    </row>
    <row r="1500" spans="2:20" s="1003" customFormat="1" ht="38.25" x14ac:dyDescent="0.25">
      <c r="B1500" s="1005" t="s">
        <v>47</v>
      </c>
      <c r="C1500" s="1100" t="s">
        <v>2521</v>
      </c>
      <c r="D1500" s="1025" t="s">
        <v>40</v>
      </c>
      <c r="E1500" s="1039">
        <v>12</v>
      </c>
      <c r="F1500" s="1039">
        <v>12</v>
      </c>
      <c r="G1500" s="1039">
        <v>1300</v>
      </c>
      <c r="H1500" s="1039">
        <v>12</v>
      </c>
      <c r="I1500" s="1039">
        <v>1500</v>
      </c>
      <c r="J1500" s="1039">
        <v>12</v>
      </c>
      <c r="K1500" s="1039">
        <v>2000</v>
      </c>
      <c r="L1500" s="1039">
        <v>12</v>
      </c>
      <c r="M1500" s="1039">
        <v>2500</v>
      </c>
      <c r="N1500" s="1039">
        <v>12</v>
      </c>
      <c r="O1500" s="1039">
        <v>3000</v>
      </c>
      <c r="P1500" s="1039">
        <v>12</v>
      </c>
      <c r="Q1500" s="1039">
        <v>3500</v>
      </c>
      <c r="R1500" s="1039"/>
      <c r="S1500" s="1004"/>
      <c r="T1500" s="1004"/>
    </row>
    <row r="1501" spans="2:20" s="1003" customFormat="1" ht="38.25" x14ac:dyDescent="0.25">
      <c r="B1501" s="1046" t="s">
        <v>130</v>
      </c>
      <c r="C1501" s="1047" t="s">
        <v>3656</v>
      </c>
      <c r="D1501" s="1038" t="s">
        <v>3657</v>
      </c>
      <c r="E1501" s="1039">
        <v>12</v>
      </c>
      <c r="F1501" s="1104">
        <v>12</v>
      </c>
      <c r="G1501" s="1104" t="s">
        <v>3658</v>
      </c>
      <c r="H1501" s="1104">
        <v>12</v>
      </c>
      <c r="I1501" s="1104" t="s">
        <v>3658</v>
      </c>
      <c r="J1501" s="1104">
        <v>12</v>
      </c>
      <c r="K1501" s="1104" t="s">
        <v>3659</v>
      </c>
      <c r="L1501" s="1104">
        <v>12</v>
      </c>
      <c r="M1501" s="1104" t="s">
        <v>3659</v>
      </c>
      <c r="N1501" s="1104">
        <v>12</v>
      </c>
      <c r="O1501" s="1104">
        <v>4</v>
      </c>
      <c r="P1501" s="1039">
        <v>12</v>
      </c>
      <c r="Q1501" s="1039">
        <v>4500</v>
      </c>
      <c r="R1501" s="1039"/>
      <c r="S1501" s="1040"/>
      <c r="T1501" s="1040"/>
    </row>
    <row r="1502" spans="2:20" s="1003" customFormat="1" ht="25.5" x14ac:dyDescent="0.25">
      <c r="B1502" s="1046" t="s">
        <v>50</v>
      </c>
      <c r="C1502" s="1047" t="s">
        <v>2080</v>
      </c>
      <c r="D1502" s="1038" t="s">
        <v>40</v>
      </c>
      <c r="E1502" s="1039">
        <v>12</v>
      </c>
      <c r="F1502" s="2113">
        <v>12</v>
      </c>
      <c r="G1502" s="1104">
        <v>6500</v>
      </c>
      <c r="H1502" s="2113">
        <v>12</v>
      </c>
      <c r="I1502" s="2115">
        <v>6583</v>
      </c>
      <c r="J1502" s="2113">
        <v>12</v>
      </c>
      <c r="K1502" s="2113" t="s">
        <v>3660</v>
      </c>
      <c r="L1502" s="2113">
        <v>12</v>
      </c>
      <c r="M1502" s="2113">
        <v>7</v>
      </c>
      <c r="N1502" s="2113">
        <v>12</v>
      </c>
      <c r="O1502" s="2113">
        <v>7</v>
      </c>
      <c r="P1502" s="1039">
        <v>12</v>
      </c>
      <c r="Q1502" s="1039">
        <v>7500</v>
      </c>
      <c r="R1502" s="1039"/>
      <c r="S1502" s="1040"/>
      <c r="T1502" s="1040"/>
    </row>
    <row r="1503" spans="2:20" s="1003" customFormat="1" x14ac:dyDescent="0.25">
      <c r="B1503" s="1099"/>
      <c r="C1503" s="1101"/>
      <c r="D1503" s="1038"/>
      <c r="E1503" s="1039"/>
      <c r="F1503" s="2113"/>
      <c r="G1503" s="1104"/>
      <c r="H1503" s="2113"/>
      <c r="I1503" s="2115"/>
      <c r="J1503" s="2113"/>
      <c r="K1503" s="2113"/>
      <c r="L1503" s="2113"/>
      <c r="M1503" s="2113"/>
      <c r="N1503" s="2113"/>
      <c r="O1503" s="2113"/>
      <c r="P1503" s="1039"/>
      <c r="Q1503" s="1039"/>
      <c r="R1503" s="1039"/>
      <c r="S1503" s="1040"/>
      <c r="T1503" s="1040"/>
    </row>
    <row r="1504" spans="2:20" s="1003" customFormat="1" ht="51" x14ac:dyDescent="0.25">
      <c r="B1504" s="1005" t="s">
        <v>52</v>
      </c>
      <c r="C1504" s="1100" t="s">
        <v>2524</v>
      </c>
      <c r="D1504" s="1025" t="s">
        <v>40</v>
      </c>
      <c r="E1504" s="1039">
        <v>12</v>
      </c>
      <c r="F1504" s="1039">
        <v>12</v>
      </c>
      <c r="G1504" s="1039">
        <v>3100</v>
      </c>
      <c r="H1504" s="1039">
        <v>12</v>
      </c>
      <c r="I1504" s="1039">
        <v>3000</v>
      </c>
      <c r="J1504" s="1039">
        <v>12</v>
      </c>
      <c r="K1504" s="1039">
        <v>3200</v>
      </c>
      <c r="L1504" s="1039">
        <v>12</v>
      </c>
      <c r="M1504" s="1039">
        <v>3500</v>
      </c>
      <c r="N1504" s="1039">
        <v>12</v>
      </c>
      <c r="O1504" s="1039">
        <v>3600</v>
      </c>
      <c r="P1504" s="1039">
        <v>12</v>
      </c>
      <c r="Q1504" s="1039">
        <v>4000</v>
      </c>
      <c r="R1504" s="1039"/>
      <c r="S1504" s="1004"/>
      <c r="T1504" s="1004"/>
    </row>
    <row r="1505" spans="2:20" s="1003" customFormat="1" ht="76.5" x14ac:dyDescent="0.25">
      <c r="B1505" s="1005" t="s">
        <v>782</v>
      </c>
      <c r="C1505" s="1100" t="s">
        <v>2525</v>
      </c>
      <c r="D1505" s="1025" t="s">
        <v>40</v>
      </c>
      <c r="E1505" s="1039">
        <v>12</v>
      </c>
      <c r="F1505" s="1039">
        <v>12</v>
      </c>
      <c r="G1505" s="1039">
        <v>1000</v>
      </c>
      <c r="H1505" s="1039">
        <v>12</v>
      </c>
      <c r="I1505" s="1039">
        <v>1000</v>
      </c>
      <c r="J1505" s="1039">
        <v>12</v>
      </c>
      <c r="K1505" s="1039">
        <v>1100</v>
      </c>
      <c r="L1505" s="1039">
        <v>12</v>
      </c>
      <c r="M1505" s="1039">
        <v>1300</v>
      </c>
      <c r="N1505" s="1039">
        <v>12</v>
      </c>
      <c r="O1505" s="1039">
        <v>2500</v>
      </c>
      <c r="P1505" s="1039">
        <v>12</v>
      </c>
      <c r="Q1505" s="1039">
        <v>3000</v>
      </c>
      <c r="R1505" s="1039"/>
      <c r="S1505" s="1004"/>
      <c r="T1505" s="1004"/>
    </row>
    <row r="1506" spans="2:20" s="1003" customFormat="1" ht="63.75" x14ac:dyDescent="0.25">
      <c r="B1506" s="1099" t="s">
        <v>3232</v>
      </c>
      <c r="C1506" s="1101" t="s">
        <v>2526</v>
      </c>
      <c r="D1506" s="1038" t="s">
        <v>40</v>
      </c>
      <c r="E1506" s="1039">
        <v>12</v>
      </c>
      <c r="F1506" s="1039">
        <v>12</v>
      </c>
      <c r="G1506" s="1039">
        <v>2000</v>
      </c>
      <c r="H1506" s="1039">
        <v>12</v>
      </c>
      <c r="I1506" s="1039">
        <v>2000</v>
      </c>
      <c r="J1506" s="1039">
        <v>12</v>
      </c>
      <c r="K1506" s="1039">
        <v>2100</v>
      </c>
      <c r="L1506" s="1039">
        <v>12</v>
      </c>
      <c r="M1506" s="1039">
        <v>2200</v>
      </c>
      <c r="N1506" s="1039">
        <v>12</v>
      </c>
      <c r="O1506" s="1039">
        <v>2300</v>
      </c>
      <c r="P1506" s="1039">
        <v>12</v>
      </c>
      <c r="Q1506" s="1039">
        <v>2500</v>
      </c>
      <c r="R1506" s="1039"/>
      <c r="S1506" s="1048"/>
      <c r="T1506" s="1048"/>
    </row>
    <row r="1507" spans="2:20" s="1003" customFormat="1" ht="38.25" x14ac:dyDescent="0.25">
      <c r="B1507" s="1099" t="s">
        <v>58</v>
      </c>
      <c r="C1507" s="1101" t="s">
        <v>2527</v>
      </c>
      <c r="D1507" s="1038" t="s">
        <v>40</v>
      </c>
      <c r="E1507" s="1039">
        <v>12</v>
      </c>
      <c r="F1507" s="1039">
        <v>12</v>
      </c>
      <c r="G1507" s="1039">
        <v>6000</v>
      </c>
      <c r="H1507" s="1039">
        <v>12</v>
      </c>
      <c r="I1507" s="1039">
        <v>6000</v>
      </c>
      <c r="J1507" s="1039">
        <v>12</v>
      </c>
      <c r="K1507" s="1039">
        <v>6600</v>
      </c>
      <c r="L1507" s="1039">
        <v>12</v>
      </c>
      <c r="M1507" s="1039">
        <v>6800</v>
      </c>
      <c r="N1507" s="1039">
        <v>12</v>
      </c>
      <c r="O1507" s="1039">
        <v>7200</v>
      </c>
      <c r="P1507" s="1039">
        <v>12</v>
      </c>
      <c r="Q1507" s="1039">
        <v>7500</v>
      </c>
      <c r="R1507" s="1039"/>
      <c r="S1507" s="1048"/>
      <c r="T1507" s="1048"/>
    </row>
    <row r="1508" spans="2:20" s="1003" customFormat="1" ht="51" x14ac:dyDescent="0.25">
      <c r="B1508" s="1099" t="s">
        <v>3233</v>
      </c>
      <c r="C1508" s="1101" t="s">
        <v>2529</v>
      </c>
      <c r="D1508" s="1038" t="s">
        <v>40</v>
      </c>
      <c r="E1508" s="1039">
        <v>12</v>
      </c>
      <c r="F1508" s="1039">
        <v>12</v>
      </c>
      <c r="G1508" s="1039">
        <v>15500</v>
      </c>
      <c r="H1508" s="1039">
        <v>12</v>
      </c>
      <c r="I1508" s="1039">
        <v>15500</v>
      </c>
      <c r="J1508" s="1039">
        <v>12</v>
      </c>
      <c r="K1508" s="1039">
        <v>17000</v>
      </c>
      <c r="L1508" s="1039">
        <v>12</v>
      </c>
      <c r="M1508" s="1039">
        <v>19000</v>
      </c>
      <c r="N1508" s="1039">
        <v>12</v>
      </c>
      <c r="O1508" s="1039">
        <v>20000</v>
      </c>
      <c r="P1508" s="1039">
        <v>12</v>
      </c>
      <c r="Q1508" s="1039">
        <v>22000</v>
      </c>
      <c r="R1508" s="1039"/>
      <c r="S1508" s="1048"/>
      <c r="T1508" s="1048"/>
    </row>
    <row r="1509" spans="2:20" s="1003" customFormat="1" ht="51" x14ac:dyDescent="0.25">
      <c r="B1509" s="1099" t="s">
        <v>137</v>
      </c>
      <c r="C1509" s="1101" t="s">
        <v>2528</v>
      </c>
      <c r="D1509" s="1038" t="s">
        <v>40</v>
      </c>
      <c r="E1509" s="1039">
        <v>12</v>
      </c>
      <c r="F1509" s="1039">
        <v>12</v>
      </c>
      <c r="G1509" s="1039"/>
      <c r="H1509" s="1039">
        <v>12</v>
      </c>
      <c r="I1509" s="1039">
        <v>1600</v>
      </c>
      <c r="J1509" s="1039">
        <v>12</v>
      </c>
      <c r="K1509" s="1039">
        <v>2500</v>
      </c>
      <c r="L1509" s="1039">
        <v>12</v>
      </c>
      <c r="M1509" s="1039">
        <v>3000</v>
      </c>
      <c r="N1509" s="1039">
        <v>12</v>
      </c>
      <c r="O1509" s="1039">
        <v>3000</v>
      </c>
      <c r="P1509" s="1039">
        <v>12</v>
      </c>
      <c r="Q1509" s="1039">
        <v>3000</v>
      </c>
      <c r="R1509" s="1039"/>
      <c r="S1509" s="1048"/>
      <c r="T1509" s="1048"/>
    </row>
    <row r="1510" spans="2:20" s="1003" customFormat="1" ht="38.25" customHeight="1" x14ac:dyDescent="0.25">
      <c r="B1510" s="1069" t="s">
        <v>65</v>
      </c>
      <c r="C1510" s="1047" t="s">
        <v>3234</v>
      </c>
      <c r="D1510" s="1049" t="s">
        <v>19</v>
      </c>
      <c r="E1510" s="1039">
        <v>100</v>
      </c>
      <c r="F1510" s="1039">
        <v>3</v>
      </c>
      <c r="G1510" s="2112">
        <f>SUM(G1512:G1517)</f>
        <v>30220</v>
      </c>
      <c r="H1510" s="1039">
        <v>2</v>
      </c>
      <c r="I1510" s="2112">
        <f>SUM(I1512:I1517)</f>
        <v>23200</v>
      </c>
      <c r="J1510" s="1039">
        <v>3</v>
      </c>
      <c r="K1510" s="2112">
        <f>SUM(K1512:K1517)</f>
        <v>23200</v>
      </c>
      <c r="L1510" s="1039">
        <v>2</v>
      </c>
      <c r="M1510" s="2112">
        <f>SUM(M1512:M1517)</f>
        <v>29500</v>
      </c>
      <c r="N1510" s="1039">
        <v>3</v>
      </c>
      <c r="O1510" s="2112">
        <f>SUM(O1512:O1517)</f>
        <v>38000</v>
      </c>
      <c r="P1510" s="1039">
        <v>2</v>
      </c>
      <c r="Q1510" s="2112">
        <f>SUM(Q1512:Q1517)</f>
        <v>39500</v>
      </c>
      <c r="R1510" s="1039">
        <v>100</v>
      </c>
      <c r="S1510" s="1040"/>
      <c r="T1510" s="1040"/>
    </row>
    <row r="1511" spans="2:20" s="1003" customFormat="1" ht="38.25" x14ac:dyDescent="0.25">
      <c r="B1511" s="1070"/>
      <c r="C1511" s="1047" t="s">
        <v>3235</v>
      </c>
      <c r="D1511" s="1049" t="s">
        <v>19</v>
      </c>
      <c r="E1511" s="1039">
        <v>100</v>
      </c>
      <c r="F1511" s="1039">
        <v>100</v>
      </c>
      <c r="G1511" s="2112"/>
      <c r="H1511" s="1039">
        <v>100</v>
      </c>
      <c r="I1511" s="2112"/>
      <c r="J1511" s="1039">
        <v>100</v>
      </c>
      <c r="K1511" s="2112"/>
      <c r="L1511" s="1039">
        <v>100</v>
      </c>
      <c r="M1511" s="2112"/>
      <c r="N1511" s="1039">
        <v>100</v>
      </c>
      <c r="O1511" s="2112"/>
      <c r="P1511" s="1039">
        <v>100</v>
      </c>
      <c r="Q1511" s="2112"/>
      <c r="R1511" s="1039">
        <v>100</v>
      </c>
      <c r="S1511" s="1040"/>
      <c r="T1511" s="1040"/>
    </row>
    <row r="1512" spans="2:20" s="1003" customFormat="1" ht="38.25" x14ac:dyDescent="0.25">
      <c r="B1512" s="1046" t="s">
        <v>144</v>
      </c>
      <c r="C1512" s="1047" t="s">
        <v>3457</v>
      </c>
      <c r="D1512" s="1049" t="s">
        <v>69</v>
      </c>
      <c r="E1512" s="1039"/>
      <c r="F1512" s="1039">
        <v>1</v>
      </c>
      <c r="G1512" s="1039">
        <v>2000</v>
      </c>
      <c r="H1512" s="1039">
        <v>1</v>
      </c>
      <c r="I1512" s="1039">
        <v>1000</v>
      </c>
      <c r="J1512" s="1039">
        <v>1</v>
      </c>
      <c r="K1512" s="1039">
        <v>2000</v>
      </c>
      <c r="L1512" s="1039">
        <v>1</v>
      </c>
      <c r="M1512" s="1039">
        <v>3000</v>
      </c>
      <c r="N1512" s="1039">
        <v>1</v>
      </c>
      <c r="O1512" s="1039">
        <v>5000</v>
      </c>
      <c r="P1512" s="1039">
        <v>1</v>
      </c>
      <c r="Q1512" s="1039">
        <v>6000</v>
      </c>
      <c r="R1512" s="1039">
        <v>5</v>
      </c>
      <c r="S1512" s="1040"/>
      <c r="T1512" s="1040"/>
    </row>
    <row r="1513" spans="2:20" s="1003" customFormat="1" ht="25.5" x14ac:dyDescent="0.25">
      <c r="B1513" s="1050" t="s">
        <v>3236</v>
      </c>
      <c r="C1513" s="1051" t="s">
        <v>3458</v>
      </c>
      <c r="D1513" s="1038" t="s">
        <v>75</v>
      </c>
      <c r="E1513" s="1039"/>
      <c r="F1513" s="1039">
        <v>4</v>
      </c>
      <c r="G1513" s="1039">
        <v>9339</v>
      </c>
      <c r="H1513" s="1039">
        <v>1</v>
      </c>
      <c r="I1513" s="1039">
        <v>4800</v>
      </c>
      <c r="J1513" s="1039">
        <v>1</v>
      </c>
      <c r="K1513" s="1039">
        <v>5200</v>
      </c>
      <c r="L1513" s="1039">
        <v>1</v>
      </c>
      <c r="M1513" s="1039">
        <v>7000</v>
      </c>
      <c r="N1513" s="1039">
        <v>1</v>
      </c>
      <c r="O1513" s="1039">
        <v>8000</v>
      </c>
      <c r="P1513" s="1039">
        <v>1</v>
      </c>
      <c r="Q1513" s="1039">
        <v>10000</v>
      </c>
      <c r="R1513" s="1039">
        <v>8</v>
      </c>
      <c r="S1513" s="1040"/>
      <c r="T1513" s="1040"/>
    </row>
    <row r="1514" spans="2:20" s="1003" customFormat="1" ht="38.25" x14ac:dyDescent="0.25">
      <c r="B1514" s="1050" t="s">
        <v>3238</v>
      </c>
      <c r="C1514" s="1051" t="s">
        <v>3444</v>
      </c>
      <c r="D1514" s="1038" t="s">
        <v>75</v>
      </c>
      <c r="E1514" s="1039"/>
      <c r="F1514" s="1039">
        <v>7</v>
      </c>
      <c r="G1514" s="1039">
        <v>14381</v>
      </c>
      <c r="H1514" s="1039">
        <v>1</v>
      </c>
      <c r="I1514" s="1039">
        <v>8400</v>
      </c>
      <c r="J1514" s="1039">
        <v>2</v>
      </c>
      <c r="K1514" s="1039">
        <v>10000</v>
      </c>
      <c r="L1514" s="1039">
        <v>2</v>
      </c>
      <c r="M1514" s="1039">
        <v>12000</v>
      </c>
      <c r="N1514" s="1039">
        <v>2</v>
      </c>
      <c r="O1514" s="1039">
        <v>11000</v>
      </c>
      <c r="P1514" s="1039">
        <v>1</v>
      </c>
      <c r="Q1514" s="1039">
        <v>12000</v>
      </c>
      <c r="R1514" s="1039">
        <v>14</v>
      </c>
      <c r="S1514" s="1040"/>
      <c r="T1514" s="1040"/>
    </row>
    <row r="1515" spans="2:20" s="1003" customFormat="1" ht="38.25" x14ac:dyDescent="0.25">
      <c r="B1515" s="1046" t="s">
        <v>3240</v>
      </c>
      <c r="C1515" s="1047" t="s">
        <v>3241</v>
      </c>
      <c r="D1515" s="1049" t="s">
        <v>40</v>
      </c>
      <c r="E1515" s="1039"/>
      <c r="F1515" s="1039">
        <v>12</v>
      </c>
      <c r="G1515" s="1039">
        <v>1500</v>
      </c>
      <c r="H1515" s="1039">
        <v>12</v>
      </c>
      <c r="I1515" s="1039">
        <v>2500</v>
      </c>
      <c r="J1515" s="1039">
        <v>12</v>
      </c>
      <c r="K1515" s="1039">
        <v>3000</v>
      </c>
      <c r="L1515" s="1039">
        <v>12</v>
      </c>
      <c r="M1515" s="1039">
        <v>3500</v>
      </c>
      <c r="N1515" s="1039">
        <v>12</v>
      </c>
      <c r="O1515" s="1039">
        <v>4000</v>
      </c>
      <c r="P1515" s="1039">
        <v>12</v>
      </c>
      <c r="Q1515" s="1039">
        <v>4500</v>
      </c>
      <c r="R1515" s="1039">
        <v>12</v>
      </c>
      <c r="S1515" s="1040"/>
      <c r="T1515" s="1040"/>
    </row>
    <row r="1516" spans="2:20" s="1003" customFormat="1" ht="38.25" x14ac:dyDescent="0.25">
      <c r="B1516" s="1046" t="s">
        <v>3242</v>
      </c>
      <c r="C1516" s="1047" t="s">
        <v>3160</v>
      </c>
      <c r="D1516" s="1049" t="s">
        <v>40</v>
      </c>
      <c r="E1516" s="1039"/>
      <c r="F1516" s="1039">
        <v>12</v>
      </c>
      <c r="G1516" s="1039">
        <v>3000</v>
      </c>
      <c r="H1516" s="1039">
        <v>12</v>
      </c>
      <c r="I1516" s="1039">
        <v>2500</v>
      </c>
      <c r="J1516" s="1039">
        <v>12</v>
      </c>
      <c r="K1516" s="1039">
        <v>3000</v>
      </c>
      <c r="L1516" s="1039">
        <v>12</v>
      </c>
      <c r="M1516" s="1039">
        <v>4000</v>
      </c>
      <c r="N1516" s="1039">
        <v>12</v>
      </c>
      <c r="O1516" s="1039">
        <v>5000</v>
      </c>
      <c r="P1516" s="1039">
        <v>12</v>
      </c>
      <c r="Q1516" s="1039">
        <v>7000</v>
      </c>
      <c r="R1516" s="1039">
        <v>12</v>
      </c>
      <c r="S1516" s="1040"/>
      <c r="T1516" s="1040"/>
    </row>
    <row r="1517" spans="2:20" s="1003" customFormat="1" ht="38.25" x14ac:dyDescent="0.25">
      <c r="B1517" s="1046" t="s">
        <v>3243</v>
      </c>
      <c r="C1517" s="1047" t="s">
        <v>3244</v>
      </c>
      <c r="D1517" s="1049" t="s">
        <v>40</v>
      </c>
      <c r="E1517" s="1039"/>
      <c r="F1517" s="1039">
        <v>0</v>
      </c>
      <c r="G1517" s="1039">
        <v>0</v>
      </c>
      <c r="H1517" s="1039">
        <v>12</v>
      </c>
      <c r="I1517" s="1039">
        <v>4000</v>
      </c>
      <c r="J1517" s="1039">
        <v>0</v>
      </c>
      <c r="K1517" s="1039">
        <v>0</v>
      </c>
      <c r="L1517" s="1039">
        <v>0</v>
      </c>
      <c r="M1517" s="1039">
        <v>0</v>
      </c>
      <c r="N1517" s="1039">
        <v>12</v>
      </c>
      <c r="O1517" s="1039">
        <v>5000</v>
      </c>
      <c r="P1517" s="1039">
        <v>0</v>
      </c>
      <c r="Q1517" s="1039">
        <v>0</v>
      </c>
      <c r="R1517" s="1039">
        <v>12</v>
      </c>
      <c r="S1517" s="1040"/>
      <c r="T1517" s="1040"/>
    </row>
    <row r="1518" spans="2:20" s="1003" customFormat="1" ht="63.75" x14ac:dyDescent="0.25">
      <c r="B1518" s="1071" t="s">
        <v>3245</v>
      </c>
      <c r="C1518" s="1051" t="s">
        <v>3246</v>
      </c>
      <c r="D1518" s="1038" t="s">
        <v>79</v>
      </c>
      <c r="E1518" s="1039">
        <v>50</v>
      </c>
      <c r="F1518" s="1039">
        <f>F1519</f>
        <v>5</v>
      </c>
      <c r="G1518" s="1039">
        <f t="shared" ref="G1518:Q1518" si="138">G1519</f>
        <v>3500</v>
      </c>
      <c r="H1518" s="1039">
        <f t="shared" si="138"/>
        <v>5</v>
      </c>
      <c r="I1518" s="1039">
        <f t="shared" si="138"/>
        <v>3850</v>
      </c>
      <c r="J1518" s="1039">
        <f t="shared" si="138"/>
        <v>4</v>
      </c>
      <c r="K1518" s="1039">
        <f t="shared" si="138"/>
        <v>4000</v>
      </c>
      <c r="L1518" s="1039">
        <f t="shared" si="138"/>
        <v>4</v>
      </c>
      <c r="M1518" s="1039">
        <f t="shared" si="138"/>
        <v>4500</v>
      </c>
      <c r="N1518" s="1039">
        <f t="shared" si="138"/>
        <v>4</v>
      </c>
      <c r="O1518" s="1039">
        <f t="shared" si="138"/>
        <v>4750</v>
      </c>
      <c r="P1518" s="1039">
        <f>P1519</f>
        <v>4</v>
      </c>
      <c r="Q1518" s="1039">
        <f t="shared" si="138"/>
        <v>5000</v>
      </c>
      <c r="R1518" s="1039"/>
      <c r="S1518" s="1048"/>
      <c r="T1518" s="1048"/>
    </row>
    <row r="1519" spans="2:20" s="1003" customFormat="1" ht="102" x14ac:dyDescent="0.25">
      <c r="B1519" s="998" t="s">
        <v>80</v>
      </c>
      <c r="C1519" s="1000" t="s">
        <v>3661</v>
      </c>
      <c r="D1519" s="1025" t="s">
        <v>79</v>
      </c>
      <c r="E1519" s="1001"/>
      <c r="F1519" s="1039">
        <v>5</v>
      </c>
      <c r="G1519" s="1039">
        <v>3500</v>
      </c>
      <c r="H1519" s="1039">
        <v>5</v>
      </c>
      <c r="I1519" s="1039">
        <v>3850</v>
      </c>
      <c r="J1519" s="1039">
        <v>4</v>
      </c>
      <c r="K1519" s="1039">
        <v>4000</v>
      </c>
      <c r="L1519" s="1039">
        <v>4</v>
      </c>
      <c r="M1519" s="1039">
        <v>4500</v>
      </c>
      <c r="N1519" s="1039">
        <v>4</v>
      </c>
      <c r="O1519" s="1039">
        <v>4750</v>
      </c>
      <c r="P1519" s="1039">
        <v>4</v>
      </c>
      <c r="Q1519" s="1039">
        <v>5000</v>
      </c>
      <c r="R1519" s="1039"/>
      <c r="S1519" s="1004"/>
      <c r="T1519" s="1004"/>
    </row>
    <row r="1520" spans="2:20" s="1003" customFormat="1" ht="48" x14ac:dyDescent="0.25">
      <c r="B1520" s="1106" t="s">
        <v>3248</v>
      </c>
      <c r="C1520" s="1000" t="s">
        <v>3446</v>
      </c>
      <c r="D1520" s="1025" t="s">
        <v>79</v>
      </c>
      <c r="E1520" s="1039">
        <v>8</v>
      </c>
      <c r="F1520" s="1039">
        <v>8</v>
      </c>
      <c r="G1520" s="1039">
        <f>G1521</f>
        <v>4400</v>
      </c>
      <c r="H1520" s="1039">
        <v>8</v>
      </c>
      <c r="I1520" s="1039">
        <f>I1521</f>
        <v>4950</v>
      </c>
      <c r="J1520" s="1039">
        <v>8</v>
      </c>
      <c r="K1520" s="1039">
        <v>10500</v>
      </c>
      <c r="L1520" s="1039">
        <v>8</v>
      </c>
      <c r="M1520" s="1039">
        <v>12000</v>
      </c>
      <c r="N1520" s="1039">
        <v>8</v>
      </c>
      <c r="O1520" s="1039">
        <v>12000</v>
      </c>
      <c r="P1520" s="1039">
        <v>8</v>
      </c>
      <c r="Q1520" s="1039">
        <v>12500</v>
      </c>
      <c r="R1520" s="1039">
        <v>40</v>
      </c>
      <c r="S1520" s="1048"/>
      <c r="T1520" s="1048"/>
    </row>
    <row r="1521" spans="2:20" s="1003" customFormat="1" ht="63.75" x14ac:dyDescent="0.25">
      <c r="B1521" s="998" t="s">
        <v>1712</v>
      </c>
      <c r="C1521" s="1000" t="s">
        <v>3250</v>
      </c>
      <c r="D1521" s="1025" t="s">
        <v>265</v>
      </c>
      <c r="E1521" s="1039"/>
      <c r="F1521" s="1039">
        <v>11</v>
      </c>
      <c r="G1521" s="1039">
        <v>4400</v>
      </c>
      <c r="H1521" s="1039">
        <v>11</v>
      </c>
      <c r="I1521" s="1039">
        <v>4950</v>
      </c>
      <c r="J1521" s="1039">
        <v>11</v>
      </c>
      <c r="K1521" s="1039">
        <v>5445</v>
      </c>
      <c r="L1521" s="1039">
        <v>11</v>
      </c>
      <c r="M1521" s="1039">
        <v>6000</v>
      </c>
      <c r="N1521" s="1039">
        <v>11</v>
      </c>
      <c r="O1521" s="1039">
        <v>6600</v>
      </c>
      <c r="P1521" s="1039">
        <v>11</v>
      </c>
      <c r="Q1521" s="1039">
        <v>7200</v>
      </c>
      <c r="R1521" s="1039"/>
      <c r="S1521" s="1048"/>
      <c r="T1521" s="1048"/>
    </row>
    <row r="1522" spans="2:20" s="1003" customFormat="1" ht="63.75" customHeight="1" x14ac:dyDescent="0.25">
      <c r="B1522" s="1106" t="s">
        <v>3251</v>
      </c>
      <c r="C1522" s="1000" t="s">
        <v>3252</v>
      </c>
      <c r="D1522" s="1025" t="s">
        <v>79</v>
      </c>
      <c r="E1522" s="1039">
        <v>25</v>
      </c>
      <c r="F1522" s="1039">
        <v>1</v>
      </c>
      <c r="G1522" s="1103">
        <f>SUM(G1523:G1523)</f>
        <v>10791</v>
      </c>
      <c r="H1522" s="1039">
        <v>1</v>
      </c>
      <c r="I1522" s="1103">
        <f>SUM(I1523:I1523)</f>
        <v>11870</v>
      </c>
      <c r="J1522" s="1039">
        <v>1</v>
      </c>
      <c r="K1522" s="1103">
        <f>SUM(K1523:K1523)</f>
        <v>13000</v>
      </c>
      <c r="L1522" s="1039">
        <v>1</v>
      </c>
      <c r="M1522" s="1103">
        <f>SUM(M1523:M1523)</f>
        <v>14300</v>
      </c>
      <c r="N1522" s="1039">
        <v>1</v>
      </c>
      <c r="O1522" s="1103">
        <f>SUM(O1523:O1523)</f>
        <v>15000</v>
      </c>
      <c r="P1522" s="1039">
        <v>1</v>
      </c>
      <c r="Q1522" s="1103">
        <f>SUM(Q1523:Q1523)</f>
        <v>15500</v>
      </c>
      <c r="R1522" s="1039">
        <v>780</v>
      </c>
      <c r="S1522" s="1004"/>
      <c r="T1522" s="1004"/>
    </row>
    <row r="1523" spans="2:20" s="1003" customFormat="1" ht="38.25" x14ac:dyDescent="0.25">
      <c r="B1523" s="998" t="s">
        <v>3254</v>
      </c>
      <c r="C1523" s="1000" t="s">
        <v>3255</v>
      </c>
      <c r="D1523" s="1025" t="s">
        <v>103</v>
      </c>
      <c r="E1523" s="1039"/>
      <c r="F1523" s="1039">
        <v>2</v>
      </c>
      <c r="G1523" s="1039">
        <v>10791</v>
      </c>
      <c r="H1523" s="1039">
        <v>2</v>
      </c>
      <c r="I1523" s="1039">
        <v>11870</v>
      </c>
      <c r="J1523" s="1039">
        <v>2</v>
      </c>
      <c r="K1523" s="1039">
        <v>13000</v>
      </c>
      <c r="L1523" s="1039">
        <v>2</v>
      </c>
      <c r="M1523" s="1039">
        <v>14300</v>
      </c>
      <c r="N1523" s="1039">
        <v>2</v>
      </c>
      <c r="O1523" s="1039">
        <v>15000</v>
      </c>
      <c r="P1523" s="1039">
        <v>2</v>
      </c>
      <c r="Q1523" s="1039">
        <v>15500</v>
      </c>
      <c r="R1523" s="1039"/>
      <c r="S1523" s="1004"/>
      <c r="T1523" s="1004"/>
    </row>
    <row r="1524" spans="2:20" s="1003" customFormat="1" ht="96" x14ac:dyDescent="0.25">
      <c r="B1524" s="1106" t="s">
        <v>551</v>
      </c>
      <c r="C1524" s="1000" t="s">
        <v>3386</v>
      </c>
      <c r="D1524" s="1025" t="s">
        <v>19</v>
      </c>
      <c r="E1524" s="1039">
        <v>100</v>
      </c>
      <c r="F1524" s="1039">
        <v>100</v>
      </c>
      <c r="G1524" s="1039">
        <f>G1525</f>
        <v>48000</v>
      </c>
      <c r="H1524" s="1039">
        <v>100</v>
      </c>
      <c r="I1524" s="1039">
        <f>I1525</f>
        <v>51000</v>
      </c>
      <c r="J1524" s="1039">
        <v>100</v>
      </c>
      <c r="K1524" s="1039">
        <f>K1525</f>
        <v>51000</v>
      </c>
      <c r="L1524" s="1039">
        <v>100</v>
      </c>
      <c r="M1524" s="1039">
        <f>M1525</f>
        <v>51000</v>
      </c>
      <c r="N1524" s="1039">
        <v>100</v>
      </c>
      <c r="O1524" s="1039">
        <f>O1525</f>
        <v>51000</v>
      </c>
      <c r="P1524" s="1039">
        <v>100</v>
      </c>
      <c r="Q1524" s="1039">
        <f>Q1525</f>
        <v>51000</v>
      </c>
      <c r="R1524" s="1039">
        <v>100</v>
      </c>
      <c r="S1524" s="1004"/>
      <c r="T1524" s="1004"/>
    </row>
    <row r="1525" spans="2:20" s="1003" customFormat="1" ht="25.5" x14ac:dyDescent="0.25">
      <c r="B1525" s="998" t="s">
        <v>3421</v>
      </c>
      <c r="C1525" s="1000" t="s">
        <v>3422</v>
      </c>
      <c r="D1525" s="1025" t="s">
        <v>40</v>
      </c>
      <c r="E1525" s="1039"/>
      <c r="F1525" s="1039">
        <v>12</v>
      </c>
      <c r="G1525" s="1039">
        <v>48000</v>
      </c>
      <c r="H1525" s="1039">
        <v>12</v>
      </c>
      <c r="I1525" s="1039">
        <v>51000</v>
      </c>
      <c r="J1525" s="1039">
        <v>12</v>
      </c>
      <c r="K1525" s="1039">
        <v>51000</v>
      </c>
      <c r="L1525" s="1039">
        <v>12</v>
      </c>
      <c r="M1525" s="1039">
        <v>51000</v>
      </c>
      <c r="N1525" s="1039">
        <v>12</v>
      </c>
      <c r="O1525" s="1039">
        <v>51000</v>
      </c>
      <c r="P1525" s="1039">
        <v>12</v>
      </c>
      <c r="Q1525" s="1039">
        <v>51000</v>
      </c>
      <c r="R1525" s="1039"/>
      <c r="S1525" s="1004"/>
      <c r="T1525" s="1004"/>
    </row>
    <row r="1526" spans="2:20" s="1003" customFormat="1" ht="84" x14ac:dyDescent="0.25">
      <c r="B1526" s="1106" t="s">
        <v>1743</v>
      </c>
      <c r="C1526" s="1000" t="s">
        <v>3265</v>
      </c>
      <c r="D1526" s="1025" t="s">
        <v>19</v>
      </c>
      <c r="E1526" s="1039">
        <v>100</v>
      </c>
      <c r="F1526" s="1039">
        <v>100</v>
      </c>
      <c r="G1526" s="1039">
        <f>SUM(G1527:G1528)</f>
        <v>30300</v>
      </c>
      <c r="H1526" s="1039">
        <v>100</v>
      </c>
      <c r="I1526" s="1039">
        <f>SUM(I1527:I1528)</f>
        <v>30300</v>
      </c>
      <c r="J1526" s="1039">
        <v>100</v>
      </c>
      <c r="K1526" s="1039">
        <f>SUM(K1527:K1528)</f>
        <v>30300</v>
      </c>
      <c r="L1526" s="1039">
        <v>100</v>
      </c>
      <c r="M1526" s="1039">
        <f>SUM(M1527:M1528)</f>
        <v>30300</v>
      </c>
      <c r="N1526" s="1039">
        <v>100</v>
      </c>
      <c r="O1526" s="1039">
        <f>SUM(O1527:O1528)</f>
        <v>30300</v>
      </c>
      <c r="P1526" s="1039">
        <v>100</v>
      </c>
      <c r="Q1526" s="1039">
        <f>SUM(Q1527:Q1528)</f>
        <v>30300</v>
      </c>
      <c r="R1526" s="1039">
        <v>100</v>
      </c>
      <c r="S1526" s="1004"/>
      <c r="T1526" s="1004"/>
    </row>
    <row r="1527" spans="2:20" s="1003" customFormat="1" ht="25.5" x14ac:dyDescent="0.25">
      <c r="B1527" s="998" t="s">
        <v>3266</v>
      </c>
      <c r="C1527" s="1000" t="s">
        <v>3267</v>
      </c>
      <c r="D1527" s="1025" t="s">
        <v>265</v>
      </c>
      <c r="E1527" s="1039"/>
      <c r="F1527" s="1039">
        <v>11</v>
      </c>
      <c r="G1527" s="1039">
        <v>25300</v>
      </c>
      <c r="H1527" s="1039">
        <v>11</v>
      </c>
      <c r="I1527" s="1039">
        <v>25300</v>
      </c>
      <c r="J1527" s="1039">
        <v>11</v>
      </c>
      <c r="K1527" s="1039">
        <v>25300</v>
      </c>
      <c r="L1527" s="1039">
        <v>11</v>
      </c>
      <c r="M1527" s="1039">
        <v>25300</v>
      </c>
      <c r="N1527" s="1039">
        <v>11</v>
      </c>
      <c r="O1527" s="1039">
        <v>25300</v>
      </c>
      <c r="P1527" s="1039">
        <v>11</v>
      </c>
      <c r="Q1527" s="1039">
        <v>25300</v>
      </c>
      <c r="R1527" s="1039">
        <v>11</v>
      </c>
      <c r="S1527" s="1004"/>
      <c r="T1527" s="1004"/>
    </row>
    <row r="1528" spans="2:20" s="1003" customFormat="1" ht="76.5" x14ac:dyDescent="0.25">
      <c r="B1528" s="998" t="s">
        <v>3390</v>
      </c>
      <c r="C1528" s="1000" t="s">
        <v>3273</v>
      </c>
      <c r="D1528" s="1025" t="s">
        <v>265</v>
      </c>
      <c r="E1528" s="1039"/>
      <c r="F1528" s="1039">
        <v>11</v>
      </c>
      <c r="G1528" s="1039">
        <v>5000</v>
      </c>
      <c r="H1528" s="1039">
        <v>11</v>
      </c>
      <c r="I1528" s="1039">
        <v>5000</v>
      </c>
      <c r="J1528" s="1039">
        <v>11</v>
      </c>
      <c r="K1528" s="1039">
        <v>5000</v>
      </c>
      <c r="L1528" s="1039">
        <v>11</v>
      </c>
      <c r="M1528" s="1039">
        <v>5000</v>
      </c>
      <c r="N1528" s="1039">
        <v>11</v>
      </c>
      <c r="O1528" s="1039">
        <v>5000</v>
      </c>
      <c r="P1528" s="1039">
        <v>11</v>
      </c>
      <c r="Q1528" s="1039">
        <v>5000</v>
      </c>
      <c r="R1528" s="1039"/>
      <c r="S1528" s="1004"/>
      <c r="T1528" s="1004"/>
    </row>
    <row r="1529" spans="2:20" s="1003" customFormat="1" ht="76.5" customHeight="1" x14ac:dyDescent="0.25">
      <c r="B1529" s="1063" t="s">
        <v>3425</v>
      </c>
      <c r="C1529" s="1000" t="s">
        <v>3274</v>
      </c>
      <c r="D1529" s="1025" t="s">
        <v>79</v>
      </c>
      <c r="E1529" s="1039">
        <v>1</v>
      </c>
      <c r="F1529" s="1039">
        <v>1</v>
      </c>
      <c r="G1529" s="1039">
        <f>G1530</f>
        <v>3300</v>
      </c>
      <c r="H1529" s="1039">
        <v>1</v>
      </c>
      <c r="I1529" s="1039">
        <f>I1530</f>
        <v>4500</v>
      </c>
      <c r="J1529" s="1039">
        <v>1</v>
      </c>
      <c r="K1529" s="1039">
        <f>K1530</f>
        <v>4950</v>
      </c>
      <c r="L1529" s="1039">
        <v>1</v>
      </c>
      <c r="M1529" s="1039">
        <f>M1530</f>
        <v>5300</v>
      </c>
      <c r="N1529" s="1039">
        <v>1</v>
      </c>
      <c r="O1529" s="1039">
        <f>O1530</f>
        <v>5800</v>
      </c>
      <c r="P1529" s="1039">
        <v>1</v>
      </c>
      <c r="Q1529" s="1039">
        <f>Q1530</f>
        <v>6500</v>
      </c>
      <c r="R1529" s="1039">
        <v>6</v>
      </c>
      <c r="S1529" s="1004"/>
      <c r="T1529" s="1004"/>
    </row>
    <row r="1530" spans="2:20" s="1003" customFormat="1" ht="38.25" x14ac:dyDescent="0.25">
      <c r="B1530" s="1008" t="s">
        <v>3277</v>
      </c>
      <c r="C1530" s="1000" t="s">
        <v>3664</v>
      </c>
      <c r="D1530" s="1025" t="s">
        <v>265</v>
      </c>
      <c r="E1530" s="1039"/>
      <c r="F1530" s="1039">
        <v>11</v>
      </c>
      <c r="G1530" s="1039">
        <v>3300</v>
      </c>
      <c r="H1530" s="1039">
        <v>11</v>
      </c>
      <c r="I1530" s="1039">
        <v>4500</v>
      </c>
      <c r="J1530" s="1039">
        <v>11</v>
      </c>
      <c r="K1530" s="1039">
        <v>4950</v>
      </c>
      <c r="L1530" s="1039">
        <v>11</v>
      </c>
      <c r="M1530" s="1039">
        <v>5300</v>
      </c>
      <c r="N1530" s="1039">
        <v>11</v>
      </c>
      <c r="O1530" s="1039">
        <v>5800</v>
      </c>
      <c r="P1530" s="1039">
        <v>11</v>
      </c>
      <c r="Q1530" s="1039">
        <v>6500</v>
      </c>
      <c r="R1530" s="1039"/>
      <c r="S1530" s="1004"/>
      <c r="T1530" s="1004"/>
    </row>
    <row r="1531" spans="2:20" s="1003" customFormat="1" ht="63.75" customHeight="1" x14ac:dyDescent="0.25">
      <c r="B1531" s="1063" t="s">
        <v>3280</v>
      </c>
      <c r="C1531" s="1000" t="s">
        <v>3279</v>
      </c>
      <c r="D1531" s="1025" t="s">
        <v>265</v>
      </c>
      <c r="E1531" s="1039">
        <v>11</v>
      </c>
      <c r="F1531" s="1039">
        <v>11</v>
      </c>
      <c r="G1531" s="1039">
        <f>SUM(G1532:G1533)</f>
        <v>7420</v>
      </c>
      <c r="H1531" s="1039">
        <v>11</v>
      </c>
      <c r="I1531" s="1039">
        <f>SUM(I1532:I1533)</f>
        <v>8200</v>
      </c>
      <c r="J1531" s="1039">
        <v>11</v>
      </c>
      <c r="K1531" s="1039">
        <f>SUM(K1532:K1533)</f>
        <v>9020</v>
      </c>
      <c r="L1531" s="1039">
        <v>11</v>
      </c>
      <c r="M1531" s="1039">
        <f>SUM(M1532:M1533)</f>
        <v>10000</v>
      </c>
      <c r="N1531" s="1039">
        <v>11</v>
      </c>
      <c r="O1531" s="1039">
        <f>SUM(O1532:O1533)</f>
        <v>11000</v>
      </c>
      <c r="P1531" s="1039">
        <v>11</v>
      </c>
      <c r="Q1531" s="1039">
        <f>SUM(Q1532:Q1533)</f>
        <v>12000</v>
      </c>
      <c r="R1531" s="1039">
        <f>N1531</f>
        <v>11</v>
      </c>
      <c r="S1531" s="1004"/>
      <c r="T1531" s="1004"/>
    </row>
    <row r="1532" spans="2:20" s="1003" customFormat="1" ht="63.75" x14ac:dyDescent="0.25">
      <c r="B1532" s="1008" t="s">
        <v>1298</v>
      </c>
      <c r="C1532" s="1000" t="s">
        <v>3447</v>
      </c>
      <c r="D1532" s="1025" t="s">
        <v>275</v>
      </c>
      <c r="E1532" s="1039">
        <v>10</v>
      </c>
      <c r="F1532" s="1039">
        <f>F1533</f>
        <v>2</v>
      </c>
      <c r="G1532" s="1039">
        <f t="shared" ref="G1532:Q1532" si="139">G1533</f>
        <v>3710</v>
      </c>
      <c r="H1532" s="1039">
        <f t="shared" si="139"/>
        <v>2</v>
      </c>
      <c r="I1532" s="1039">
        <f t="shared" si="139"/>
        <v>4100</v>
      </c>
      <c r="J1532" s="1039">
        <f t="shared" si="139"/>
        <v>2</v>
      </c>
      <c r="K1532" s="1039">
        <f t="shared" si="139"/>
        <v>4510</v>
      </c>
      <c r="L1532" s="1039">
        <f t="shared" si="139"/>
        <v>2</v>
      </c>
      <c r="M1532" s="1039">
        <f t="shared" si="139"/>
        <v>5000</v>
      </c>
      <c r="N1532" s="1039">
        <f t="shared" si="139"/>
        <v>2</v>
      </c>
      <c r="O1532" s="1039">
        <f t="shared" si="139"/>
        <v>5500</v>
      </c>
      <c r="P1532" s="1039">
        <f t="shared" si="139"/>
        <v>2</v>
      </c>
      <c r="Q1532" s="1039">
        <f t="shared" si="139"/>
        <v>6000</v>
      </c>
      <c r="R1532" s="1039">
        <v>10</v>
      </c>
      <c r="S1532" s="1004"/>
      <c r="T1532" s="1004"/>
    </row>
    <row r="1533" spans="2:20" s="1003" customFormat="1" ht="63.75" x14ac:dyDescent="0.25">
      <c r="B1533" s="1008" t="s">
        <v>3282</v>
      </c>
      <c r="C1533" s="1000" t="s">
        <v>3447</v>
      </c>
      <c r="D1533" s="1025" t="s">
        <v>275</v>
      </c>
      <c r="E1533" s="1039"/>
      <c r="F1533" s="1039">
        <v>2</v>
      </c>
      <c r="G1533" s="1039">
        <v>3710</v>
      </c>
      <c r="H1533" s="1039">
        <v>2</v>
      </c>
      <c r="I1533" s="1039">
        <v>4100</v>
      </c>
      <c r="J1533" s="1039">
        <v>2</v>
      </c>
      <c r="K1533" s="1039">
        <v>4510</v>
      </c>
      <c r="L1533" s="1039">
        <v>2</v>
      </c>
      <c r="M1533" s="1039">
        <v>5000</v>
      </c>
      <c r="N1533" s="1039">
        <v>2</v>
      </c>
      <c r="O1533" s="1039">
        <v>5500</v>
      </c>
      <c r="P1533" s="1039">
        <v>2</v>
      </c>
      <c r="Q1533" s="1039">
        <v>6000</v>
      </c>
      <c r="R1533" s="1039"/>
      <c r="S1533" s="1004"/>
      <c r="T1533" s="1004"/>
    </row>
    <row r="1534" spans="2:20" s="1003" customFormat="1" ht="48" x14ac:dyDescent="0.25">
      <c r="B1534" s="1106" t="s">
        <v>3289</v>
      </c>
      <c r="C1534" s="1009" t="s">
        <v>3448</v>
      </c>
      <c r="D1534" s="1025" t="s">
        <v>275</v>
      </c>
      <c r="E1534" s="1039">
        <v>0</v>
      </c>
      <c r="F1534" s="1039">
        <f>F1535</f>
        <v>1</v>
      </c>
      <c r="G1534" s="1039">
        <f t="shared" ref="G1534:Q1534" si="140">G1535</f>
        <v>10000</v>
      </c>
      <c r="H1534" s="1039">
        <f t="shared" si="140"/>
        <v>1</v>
      </c>
      <c r="I1534" s="1039">
        <f t="shared" si="140"/>
        <v>15000</v>
      </c>
      <c r="J1534" s="1039">
        <f t="shared" si="140"/>
        <v>1</v>
      </c>
      <c r="K1534" s="1039">
        <f t="shared" si="140"/>
        <v>16500</v>
      </c>
      <c r="L1534" s="1039">
        <f t="shared" si="140"/>
        <v>1</v>
      </c>
      <c r="M1534" s="1039">
        <f t="shared" si="140"/>
        <v>17500</v>
      </c>
      <c r="N1534" s="1039">
        <f t="shared" si="140"/>
        <v>1</v>
      </c>
      <c r="O1534" s="1039">
        <f t="shared" si="140"/>
        <v>18500</v>
      </c>
      <c r="P1534" s="1039">
        <f t="shared" si="140"/>
        <v>1</v>
      </c>
      <c r="Q1534" s="1039">
        <f t="shared" si="140"/>
        <v>18500</v>
      </c>
      <c r="R1534" s="1039">
        <f>F1534+H1534+J1534+L1534+N1534</f>
        <v>5</v>
      </c>
      <c r="S1534" s="1004"/>
      <c r="T1534" s="1004"/>
    </row>
    <row r="1535" spans="2:20" s="1003" customFormat="1" ht="76.5" x14ac:dyDescent="0.25">
      <c r="B1535" s="998" t="s">
        <v>894</v>
      </c>
      <c r="C1535" s="1009" t="s">
        <v>3448</v>
      </c>
      <c r="D1535" s="1025" t="s">
        <v>275</v>
      </c>
      <c r="E1535" s="1039"/>
      <c r="F1535" s="1039">
        <v>1</v>
      </c>
      <c r="G1535" s="1039">
        <v>10000</v>
      </c>
      <c r="H1535" s="1039">
        <v>1</v>
      </c>
      <c r="I1535" s="1039">
        <v>15000</v>
      </c>
      <c r="J1535" s="1039">
        <v>1</v>
      </c>
      <c r="K1535" s="1039">
        <v>16500</v>
      </c>
      <c r="L1535" s="1039">
        <v>1</v>
      </c>
      <c r="M1535" s="1039">
        <v>17500</v>
      </c>
      <c r="N1535" s="1039">
        <v>1</v>
      </c>
      <c r="O1535" s="1039">
        <v>18500</v>
      </c>
      <c r="P1535" s="1039">
        <v>1</v>
      </c>
      <c r="Q1535" s="1039">
        <v>18500</v>
      </c>
      <c r="R1535" s="1039"/>
      <c r="S1535" s="1004"/>
      <c r="T1535" s="1004"/>
    </row>
    <row r="1536" spans="2:20" s="1003" customFormat="1" ht="60" x14ac:dyDescent="0.25">
      <c r="B1536" s="1063" t="s">
        <v>3449</v>
      </c>
      <c r="C1536" s="1000" t="s">
        <v>3291</v>
      </c>
      <c r="D1536" s="1025" t="s">
        <v>19</v>
      </c>
      <c r="E1536" s="1039">
        <v>98</v>
      </c>
      <c r="F1536" s="1039">
        <f>F1537</f>
        <v>0</v>
      </c>
      <c r="G1536" s="1039">
        <f t="shared" ref="G1536:Q1536" si="141">G1537</f>
        <v>0</v>
      </c>
      <c r="H1536" s="1039">
        <v>70</v>
      </c>
      <c r="I1536" s="1039">
        <f t="shared" si="141"/>
        <v>1000</v>
      </c>
      <c r="J1536" s="1039">
        <v>0</v>
      </c>
      <c r="K1536" s="1039">
        <v>0</v>
      </c>
      <c r="L1536" s="1039">
        <v>80</v>
      </c>
      <c r="M1536" s="1039">
        <f>M1537</f>
        <v>15000</v>
      </c>
      <c r="N1536" s="1039">
        <f t="shared" si="141"/>
        <v>0</v>
      </c>
      <c r="O1536" s="1039">
        <f t="shared" si="141"/>
        <v>0</v>
      </c>
      <c r="P1536" s="1039">
        <f t="shared" si="141"/>
        <v>0</v>
      </c>
      <c r="Q1536" s="1039">
        <f t="shared" si="141"/>
        <v>0</v>
      </c>
      <c r="R1536" s="1039">
        <v>98</v>
      </c>
      <c r="S1536" s="1004"/>
      <c r="T1536" s="1004"/>
    </row>
    <row r="1537" spans="2:20" s="1003" customFormat="1" ht="38.25" x14ac:dyDescent="0.25">
      <c r="B1537" s="1008" t="s">
        <v>3293</v>
      </c>
      <c r="C1537" s="1000" t="s">
        <v>3294</v>
      </c>
      <c r="D1537" s="1025" t="s">
        <v>265</v>
      </c>
      <c r="E1537" s="1039"/>
      <c r="F1537" s="1039"/>
      <c r="G1537" s="1039"/>
      <c r="H1537" s="1039">
        <v>1</v>
      </c>
      <c r="I1537" s="1039">
        <v>1000</v>
      </c>
      <c r="J1537" s="1000"/>
      <c r="K1537" s="1000"/>
      <c r="L1537" s="1039">
        <v>10</v>
      </c>
      <c r="M1537" s="1039">
        <v>15000</v>
      </c>
      <c r="N1537" s="1039"/>
      <c r="O1537" s="1039"/>
      <c r="P1537" s="1039"/>
      <c r="Q1537" s="1039"/>
      <c r="R1537" s="1039"/>
      <c r="S1537" s="1004"/>
      <c r="T1537" s="1004"/>
    </row>
    <row r="1538" spans="2:20" s="1003" customFormat="1" ht="60" x14ac:dyDescent="0.25">
      <c r="B1538" s="1063" t="s">
        <v>3296</v>
      </c>
      <c r="C1538" s="1000" t="s">
        <v>3295</v>
      </c>
      <c r="D1538" s="1025" t="s">
        <v>265</v>
      </c>
      <c r="E1538" s="1039">
        <v>11</v>
      </c>
      <c r="F1538" s="1039">
        <f>F1539</f>
        <v>11</v>
      </c>
      <c r="G1538" s="1039">
        <f t="shared" ref="G1538:Q1538" si="142">G1539</f>
        <v>2400</v>
      </c>
      <c r="H1538" s="1039">
        <f t="shared" si="142"/>
        <v>11</v>
      </c>
      <c r="I1538" s="1039">
        <f t="shared" si="142"/>
        <v>2750</v>
      </c>
      <c r="J1538" s="1039">
        <f t="shared" si="142"/>
        <v>11</v>
      </c>
      <c r="K1538" s="1039">
        <f t="shared" si="142"/>
        <v>3000</v>
      </c>
      <c r="L1538" s="1039">
        <f t="shared" si="142"/>
        <v>11</v>
      </c>
      <c r="M1538" s="1039">
        <f t="shared" si="142"/>
        <v>3250</v>
      </c>
      <c r="N1538" s="1039">
        <f t="shared" si="142"/>
        <v>11</v>
      </c>
      <c r="O1538" s="1039">
        <f t="shared" si="142"/>
        <v>3500</v>
      </c>
      <c r="P1538" s="1039">
        <f t="shared" si="142"/>
        <v>11</v>
      </c>
      <c r="Q1538" s="1039">
        <f t="shared" si="142"/>
        <v>4000</v>
      </c>
      <c r="R1538" s="1039">
        <f>N1538</f>
        <v>11</v>
      </c>
      <c r="S1538" s="1004"/>
      <c r="T1538" s="1004"/>
    </row>
    <row r="1539" spans="2:20" s="1003" customFormat="1" x14ac:dyDescent="0.25">
      <c r="B1539" s="1008" t="s">
        <v>383</v>
      </c>
      <c r="C1539" s="1000" t="s">
        <v>3297</v>
      </c>
      <c r="D1539" s="1025"/>
      <c r="E1539" s="1039"/>
      <c r="F1539" s="1039">
        <v>11</v>
      </c>
      <c r="G1539" s="1039">
        <v>2400</v>
      </c>
      <c r="H1539" s="1039">
        <v>11</v>
      </c>
      <c r="I1539" s="1039">
        <v>2750</v>
      </c>
      <c r="J1539" s="1039">
        <v>11</v>
      </c>
      <c r="K1539" s="1039">
        <v>3000</v>
      </c>
      <c r="L1539" s="1039">
        <v>11</v>
      </c>
      <c r="M1539" s="1039">
        <v>3250</v>
      </c>
      <c r="N1539" s="1039">
        <v>11</v>
      </c>
      <c r="O1539" s="1039">
        <v>3500</v>
      </c>
      <c r="P1539" s="1039">
        <v>11</v>
      </c>
      <c r="Q1539" s="1039">
        <v>4000</v>
      </c>
      <c r="R1539" s="1039"/>
      <c r="S1539" s="1004"/>
      <c r="T1539" s="1004"/>
    </row>
    <row r="1540" spans="2:20" s="1003" customFormat="1" ht="60" x14ac:dyDescent="0.25">
      <c r="B1540" s="1106" t="s">
        <v>3662</v>
      </c>
      <c r="C1540" s="1000"/>
      <c r="D1540" s="1025" t="s">
        <v>100</v>
      </c>
      <c r="E1540" s="1001">
        <v>22</v>
      </c>
      <c r="F1540" s="1039">
        <v>11</v>
      </c>
      <c r="G1540" s="1039">
        <v>2000</v>
      </c>
      <c r="H1540" s="1039">
        <v>22</v>
      </c>
      <c r="I1540" s="1039">
        <v>3000</v>
      </c>
      <c r="J1540" s="1039">
        <v>22</v>
      </c>
      <c r="K1540" s="1039">
        <v>4000</v>
      </c>
      <c r="L1540" s="1039">
        <v>22</v>
      </c>
      <c r="M1540" s="1039">
        <v>4000</v>
      </c>
      <c r="N1540" s="1039">
        <v>22</v>
      </c>
      <c r="O1540" s="1039">
        <v>4000</v>
      </c>
      <c r="P1540" s="1039">
        <v>22</v>
      </c>
      <c r="Q1540" s="1039">
        <v>4000</v>
      </c>
      <c r="R1540" s="1039">
        <v>99</v>
      </c>
      <c r="S1540" s="1004"/>
      <c r="T1540" s="1004"/>
    </row>
    <row r="1541" spans="2:20" s="1003" customFormat="1" ht="38.25" x14ac:dyDescent="0.25">
      <c r="B1541" s="1000" t="s">
        <v>3663</v>
      </c>
      <c r="C1541" s="1000" t="s">
        <v>3663</v>
      </c>
      <c r="D1541" s="1025" t="s">
        <v>100</v>
      </c>
      <c r="E1541" s="1001">
        <v>22</v>
      </c>
      <c r="F1541" s="1039">
        <v>11</v>
      </c>
      <c r="G1541" s="1039">
        <v>2000</v>
      </c>
      <c r="H1541" s="1039">
        <v>22</v>
      </c>
      <c r="I1541" s="1039">
        <v>3000</v>
      </c>
      <c r="J1541" s="1039">
        <v>22</v>
      </c>
      <c r="K1541" s="1039">
        <v>4000</v>
      </c>
      <c r="L1541" s="1039">
        <v>22</v>
      </c>
      <c r="M1541" s="1039">
        <v>4000</v>
      </c>
      <c r="N1541" s="1039">
        <v>22</v>
      </c>
      <c r="O1541" s="1039">
        <v>4000</v>
      </c>
      <c r="P1541" s="1039">
        <v>22</v>
      </c>
      <c r="Q1541" s="1039">
        <v>4000</v>
      </c>
      <c r="R1541" s="1039">
        <v>99</v>
      </c>
      <c r="S1541" s="1004"/>
      <c r="T1541" s="1004"/>
    </row>
    <row r="1542" spans="2:20" s="1032" customFormat="1" x14ac:dyDescent="0.25">
      <c r="B1542" s="1027" t="s">
        <v>2651</v>
      </c>
      <c r="C1542" s="1033"/>
      <c r="D1542" s="1034"/>
      <c r="E1542" s="1044"/>
      <c r="F1542" s="1044"/>
      <c r="G1542" s="1045">
        <f>G1538+G1536+G1534+G1531+G1529+G1526+G1524+G1522+G1520+G1518+G1510+G1495</f>
        <v>211431</v>
      </c>
      <c r="H1542" s="1045"/>
      <c r="I1542" s="1045">
        <f>I1538+I1536+I1534+I1531+I1529+I1526+I1524+I1522+I1520+I1518+I1510+I1495</f>
        <v>238803</v>
      </c>
      <c r="J1542" s="1045"/>
      <c r="K1542" s="1045">
        <f>K1538+K1536+K1534+K1531+K1529+K1526+K1524+K1522+K1520+K1518+K1510+K1495</f>
        <v>248320</v>
      </c>
      <c r="L1542" s="1045"/>
      <c r="M1542" s="1045">
        <f>M1538+M1536+M1534+M1531+M1529+M1526+M1524+M1522+M1520+M1518+M1510+M1495</f>
        <v>283157</v>
      </c>
      <c r="N1542" s="1045"/>
      <c r="O1542" s="1045">
        <f>O1538+O1536+O1534+O1531+O1529+O1526+O1524+O1522+O1520+O1518+O1510+O1495</f>
        <v>287761</v>
      </c>
      <c r="P1542" s="1045"/>
      <c r="Q1542" s="1045">
        <f>Q1538+Q1536+Q1534+Q1531+Q1529+Q1526+Q1524+Q1522+Q1520+Q1518+Q1510+Q1495</f>
        <v>314800</v>
      </c>
      <c r="R1542" s="1044"/>
      <c r="S1542" s="1036"/>
      <c r="T1542" s="1036"/>
    </row>
    <row r="1543" spans="2:20" s="1003" customFormat="1" ht="13.5" thickBot="1" x14ac:dyDescent="0.3">
      <c r="B1543" s="1052"/>
      <c r="C1543" s="1053"/>
      <c r="D1543" s="1054"/>
      <c r="E1543" s="1055"/>
      <c r="F1543" s="1055"/>
      <c r="G1543" s="1055"/>
      <c r="H1543" s="1055"/>
      <c r="I1543" s="1055"/>
      <c r="J1543" s="1055"/>
      <c r="K1543" s="1055"/>
      <c r="L1543" s="1055"/>
      <c r="M1543" s="1055"/>
      <c r="N1543" s="1055"/>
      <c r="O1543" s="1055"/>
      <c r="P1543" s="1055"/>
      <c r="Q1543" s="1055"/>
      <c r="R1543" s="1055"/>
      <c r="S1543" s="1056"/>
      <c r="T1543" s="1056"/>
    </row>
    <row r="1544" spans="2:20" ht="13.5" thickTop="1" x14ac:dyDescent="0.25"/>
  </sheetData>
  <mergeCells count="318">
    <mergeCell ref="S2:S4"/>
    <mergeCell ref="B2:B4"/>
    <mergeCell ref="G64:G65"/>
    <mergeCell ref="I64:I65"/>
    <mergeCell ref="C2:C4"/>
    <mergeCell ref="D2:D4"/>
    <mergeCell ref="E2:E4"/>
    <mergeCell ref="F2:Q2"/>
    <mergeCell ref="K64:K65"/>
    <mergeCell ref="I101:I102"/>
    <mergeCell ref="K101:K102"/>
    <mergeCell ref="M101:M102"/>
    <mergeCell ref="O101:O102"/>
    <mergeCell ref="Q101:Q102"/>
    <mergeCell ref="M64:M65"/>
    <mergeCell ref="O64:O65"/>
    <mergeCell ref="Q64:Q65"/>
    <mergeCell ref="R2:R4"/>
    <mergeCell ref="I120:I121"/>
    <mergeCell ref="K120:K121"/>
    <mergeCell ref="M120:M121"/>
    <mergeCell ref="O120:O121"/>
    <mergeCell ref="Q120:Q121"/>
    <mergeCell ref="B206:B207"/>
    <mergeCell ref="I131:I132"/>
    <mergeCell ref="K131:K132"/>
    <mergeCell ref="M131:M132"/>
    <mergeCell ref="O131:O132"/>
    <mergeCell ref="Q316:Q317"/>
    <mergeCell ref="B316:B317"/>
    <mergeCell ref="G316:G317"/>
    <mergeCell ref="I316:I317"/>
    <mergeCell ref="K316:K317"/>
    <mergeCell ref="M316:M317"/>
    <mergeCell ref="O316:O317"/>
    <mergeCell ref="Q131:Q132"/>
    <mergeCell ref="Q270:Q271"/>
    <mergeCell ref="G270:G271"/>
    <mergeCell ref="I270:I271"/>
    <mergeCell ref="K270:K271"/>
    <mergeCell ref="M270:M271"/>
    <mergeCell ref="O270:O271"/>
    <mergeCell ref="G364:G365"/>
    <mergeCell ref="I364:I365"/>
    <mergeCell ref="K364:K365"/>
    <mergeCell ref="Q416:Q417"/>
    <mergeCell ref="G416:G417"/>
    <mergeCell ref="I416:I417"/>
    <mergeCell ref="K416:K417"/>
    <mergeCell ref="M416:M417"/>
    <mergeCell ref="O416:O417"/>
    <mergeCell ref="G376:G377"/>
    <mergeCell ref="I376:I377"/>
    <mergeCell ref="K376:K377"/>
    <mergeCell ref="M376:M377"/>
    <mergeCell ref="O376:O377"/>
    <mergeCell ref="Q376:Q377"/>
    <mergeCell ref="M364:M365"/>
    <mergeCell ref="O364:O365"/>
    <mergeCell ref="Q364:Q365"/>
    <mergeCell ref="Q464:Q465"/>
    <mergeCell ref="G476:G477"/>
    <mergeCell ref="I476:I477"/>
    <mergeCell ref="K476:K477"/>
    <mergeCell ref="M476:M477"/>
    <mergeCell ref="O476:O477"/>
    <mergeCell ref="Q476:Q477"/>
    <mergeCell ref="G464:G465"/>
    <mergeCell ref="I464:I465"/>
    <mergeCell ref="K464:K465"/>
    <mergeCell ref="M464:M465"/>
    <mergeCell ref="O464:O465"/>
    <mergeCell ref="Q516:Q517"/>
    <mergeCell ref="G528:G529"/>
    <mergeCell ref="I528:I529"/>
    <mergeCell ref="K528:K529"/>
    <mergeCell ref="M528:M529"/>
    <mergeCell ref="O528:O529"/>
    <mergeCell ref="Q528:Q529"/>
    <mergeCell ref="G516:G517"/>
    <mergeCell ref="I516:I517"/>
    <mergeCell ref="K516:K517"/>
    <mergeCell ref="M516:M517"/>
    <mergeCell ref="O516:O517"/>
    <mergeCell ref="Q569:Q570"/>
    <mergeCell ref="G581:G582"/>
    <mergeCell ref="I581:I582"/>
    <mergeCell ref="K581:K582"/>
    <mergeCell ref="M581:M582"/>
    <mergeCell ref="O581:O582"/>
    <mergeCell ref="Q581:Q582"/>
    <mergeCell ref="G569:G570"/>
    <mergeCell ref="I569:I570"/>
    <mergeCell ref="K569:K570"/>
    <mergeCell ref="M569:M570"/>
    <mergeCell ref="O569:O570"/>
    <mergeCell ref="Q620:Q621"/>
    <mergeCell ref="G633:G634"/>
    <mergeCell ref="I633:I634"/>
    <mergeCell ref="K633:K634"/>
    <mergeCell ref="M633:M634"/>
    <mergeCell ref="O633:O634"/>
    <mergeCell ref="Q633:Q634"/>
    <mergeCell ref="G620:G621"/>
    <mergeCell ref="I620:I621"/>
    <mergeCell ref="K620:K621"/>
    <mergeCell ref="M620:M621"/>
    <mergeCell ref="O620:O621"/>
    <mergeCell ref="Q673:Q674"/>
    <mergeCell ref="G684:G685"/>
    <mergeCell ref="I684:I685"/>
    <mergeCell ref="K684:K685"/>
    <mergeCell ref="M684:M685"/>
    <mergeCell ref="O684:O685"/>
    <mergeCell ref="Q684:Q685"/>
    <mergeCell ref="G673:G674"/>
    <mergeCell ref="I673:I674"/>
    <mergeCell ref="K673:K674"/>
    <mergeCell ref="M673:M674"/>
    <mergeCell ref="O673:O674"/>
    <mergeCell ref="I769:I770"/>
    <mergeCell ref="K769:K770"/>
    <mergeCell ref="M769:M770"/>
    <mergeCell ref="O769:O770"/>
    <mergeCell ref="Q769:Q770"/>
    <mergeCell ref="Q729:Q730"/>
    <mergeCell ref="G742:G743"/>
    <mergeCell ref="I742:I743"/>
    <mergeCell ref="K742:K743"/>
    <mergeCell ref="M742:M743"/>
    <mergeCell ref="O742:O743"/>
    <mergeCell ref="Q742:Q743"/>
    <mergeCell ref="G729:G730"/>
    <mergeCell ref="I729:I730"/>
    <mergeCell ref="K729:K730"/>
    <mergeCell ref="M729:M730"/>
    <mergeCell ref="O729:O730"/>
    <mergeCell ref="I801:I802"/>
    <mergeCell ref="K801:K802"/>
    <mergeCell ref="M801:M802"/>
    <mergeCell ref="O801:O802"/>
    <mergeCell ref="Q801:Q802"/>
    <mergeCell ref="I780:I781"/>
    <mergeCell ref="K780:K781"/>
    <mergeCell ref="M780:M781"/>
    <mergeCell ref="O780:O781"/>
    <mergeCell ref="Q780:Q781"/>
    <mergeCell ref="I791:I792"/>
    <mergeCell ref="K791:K792"/>
    <mergeCell ref="M791:M792"/>
    <mergeCell ref="O791:O792"/>
    <mergeCell ref="Q791:Q792"/>
    <mergeCell ref="Q829:Q830"/>
    <mergeCell ref="B840:B841"/>
    <mergeCell ref="G840:G841"/>
    <mergeCell ref="I840:I841"/>
    <mergeCell ref="K840:K841"/>
    <mergeCell ref="M840:M841"/>
    <mergeCell ref="O840:O841"/>
    <mergeCell ref="Q840:Q841"/>
    <mergeCell ref="B829:B830"/>
    <mergeCell ref="G829:G830"/>
    <mergeCell ref="I829:I830"/>
    <mergeCell ref="K829:K830"/>
    <mergeCell ref="M829:M830"/>
    <mergeCell ref="O829:O830"/>
    <mergeCell ref="Q879:Q880"/>
    <mergeCell ref="G892:G893"/>
    <mergeCell ref="I892:I893"/>
    <mergeCell ref="K892:K893"/>
    <mergeCell ref="M892:M893"/>
    <mergeCell ref="O892:O893"/>
    <mergeCell ref="Q892:Q893"/>
    <mergeCell ref="B879:B880"/>
    <mergeCell ref="G879:G880"/>
    <mergeCell ref="I879:I880"/>
    <mergeCell ref="K879:K880"/>
    <mergeCell ref="M879:M880"/>
    <mergeCell ref="O879:O880"/>
    <mergeCell ref="Q934:Q935"/>
    <mergeCell ref="G946:G947"/>
    <mergeCell ref="I946:I947"/>
    <mergeCell ref="K946:K947"/>
    <mergeCell ref="M946:M947"/>
    <mergeCell ref="O946:O947"/>
    <mergeCell ref="Q946:Q947"/>
    <mergeCell ref="G934:G935"/>
    <mergeCell ref="I934:I935"/>
    <mergeCell ref="K934:K935"/>
    <mergeCell ref="M934:M935"/>
    <mergeCell ref="O934:O935"/>
    <mergeCell ref="Q1038:Q1039"/>
    <mergeCell ref="G1051:G1052"/>
    <mergeCell ref="I1051:I1052"/>
    <mergeCell ref="K1051:K1052"/>
    <mergeCell ref="M1051:M1052"/>
    <mergeCell ref="O1051:O1052"/>
    <mergeCell ref="Q1051:Q1052"/>
    <mergeCell ref="G1038:G1039"/>
    <mergeCell ref="I1038:I1039"/>
    <mergeCell ref="K1038:K1039"/>
    <mergeCell ref="M1038:M1039"/>
    <mergeCell ref="O1038:O1039"/>
    <mergeCell ref="I1095:I1097"/>
    <mergeCell ref="K1095:K1097"/>
    <mergeCell ref="M1095:M1097"/>
    <mergeCell ref="O1095:O1097"/>
    <mergeCell ref="Q1095:Q1097"/>
    <mergeCell ref="I1075:I1076"/>
    <mergeCell ref="K1075:K1076"/>
    <mergeCell ref="M1075:M1076"/>
    <mergeCell ref="O1075:O1076"/>
    <mergeCell ref="Q1075:Q1076"/>
    <mergeCell ref="I1093:I1094"/>
    <mergeCell ref="K1093:K1094"/>
    <mergeCell ref="M1093:M1094"/>
    <mergeCell ref="O1093:O1094"/>
    <mergeCell ref="Q1093:Q1094"/>
    <mergeCell ref="Q1124:Q1125"/>
    <mergeCell ref="G1137:G1138"/>
    <mergeCell ref="I1137:I1138"/>
    <mergeCell ref="K1137:K1138"/>
    <mergeCell ref="M1137:M1138"/>
    <mergeCell ref="O1137:O1138"/>
    <mergeCell ref="Q1137:Q1138"/>
    <mergeCell ref="G1124:G1125"/>
    <mergeCell ref="I1124:I1125"/>
    <mergeCell ref="K1124:K1125"/>
    <mergeCell ref="M1124:M1125"/>
    <mergeCell ref="O1124:O1125"/>
    <mergeCell ref="Q1178:Q1179"/>
    <mergeCell ref="G1190:G1191"/>
    <mergeCell ref="I1190:I1191"/>
    <mergeCell ref="K1190:K1191"/>
    <mergeCell ref="M1190:M1191"/>
    <mergeCell ref="O1190:O1191"/>
    <mergeCell ref="Q1190:Q1191"/>
    <mergeCell ref="G1178:G1179"/>
    <mergeCell ref="I1178:I1179"/>
    <mergeCell ref="K1178:K1179"/>
    <mergeCell ref="M1178:M1179"/>
    <mergeCell ref="O1178:O1179"/>
    <mergeCell ref="Q1235:Q1236"/>
    <mergeCell ref="G1247:G1248"/>
    <mergeCell ref="I1247:I1248"/>
    <mergeCell ref="K1247:K1248"/>
    <mergeCell ref="M1247:M1248"/>
    <mergeCell ref="O1247:O1248"/>
    <mergeCell ref="Q1247:Q1248"/>
    <mergeCell ref="G1235:G1236"/>
    <mergeCell ref="I1235:I1236"/>
    <mergeCell ref="K1235:K1236"/>
    <mergeCell ref="M1235:M1236"/>
    <mergeCell ref="O1235:O1236"/>
    <mergeCell ref="Q1288:Q1289"/>
    <mergeCell ref="G1300:G1301"/>
    <mergeCell ref="I1300:I1301"/>
    <mergeCell ref="K1300:K1301"/>
    <mergeCell ref="M1300:M1301"/>
    <mergeCell ref="O1300:O1301"/>
    <mergeCell ref="Q1300:Q1301"/>
    <mergeCell ref="G1288:G1289"/>
    <mergeCell ref="I1288:I1289"/>
    <mergeCell ref="K1288:K1289"/>
    <mergeCell ref="M1288:M1289"/>
    <mergeCell ref="O1288:O1289"/>
    <mergeCell ref="I1354:I1355"/>
    <mergeCell ref="K1354:K1355"/>
    <mergeCell ref="M1354:M1355"/>
    <mergeCell ref="O1354:O1355"/>
    <mergeCell ref="Q1354:Q1355"/>
    <mergeCell ref="G1342:G1343"/>
    <mergeCell ref="I1342:I1343"/>
    <mergeCell ref="K1342:K1343"/>
    <mergeCell ref="M1342:M1343"/>
    <mergeCell ref="O1342:O1343"/>
    <mergeCell ref="F1502:F1503"/>
    <mergeCell ref="H1502:H1503"/>
    <mergeCell ref="I1502:I1503"/>
    <mergeCell ref="J1502:J1503"/>
    <mergeCell ref="K1502:K1503"/>
    <mergeCell ref="L1502:L1503"/>
    <mergeCell ref="Q1457:Q1458"/>
    <mergeCell ref="G1469:G1470"/>
    <mergeCell ref="I1469:I1470"/>
    <mergeCell ref="K1469:K1470"/>
    <mergeCell ref="M1469:M1470"/>
    <mergeCell ref="O1469:O1470"/>
    <mergeCell ref="Q1469:Q1470"/>
    <mergeCell ref="G1457:G1458"/>
    <mergeCell ref="I1457:I1458"/>
    <mergeCell ref="K1457:K1458"/>
    <mergeCell ref="M1457:M1458"/>
    <mergeCell ref="O1457:O1458"/>
    <mergeCell ref="T2:T4"/>
    <mergeCell ref="Q1510:Q1511"/>
    <mergeCell ref="M1502:M1503"/>
    <mergeCell ref="N1502:N1503"/>
    <mergeCell ref="O1502:O1503"/>
    <mergeCell ref="G1510:G1511"/>
    <mergeCell ref="I1510:I1511"/>
    <mergeCell ref="K1510:K1511"/>
    <mergeCell ref="M1510:M1511"/>
    <mergeCell ref="O1510:O1511"/>
    <mergeCell ref="Q1399:Q1400"/>
    <mergeCell ref="G1417:G1418"/>
    <mergeCell ref="I1417:I1418"/>
    <mergeCell ref="K1417:K1418"/>
    <mergeCell ref="M1417:M1418"/>
    <mergeCell ref="O1417:O1418"/>
    <mergeCell ref="Q1417:Q1418"/>
    <mergeCell ref="G1399:G1400"/>
    <mergeCell ref="I1399:I1400"/>
    <mergeCell ref="K1399:K1400"/>
    <mergeCell ref="M1399:M1400"/>
    <mergeCell ref="O1399:O1400"/>
    <mergeCell ref="Q1342:Q1343"/>
    <mergeCell ref="G1354:G1355"/>
  </mergeCells>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42"/>
  <sheetViews>
    <sheetView workbookViewId="0">
      <selection activeCell="B3" sqref="B3:I42"/>
    </sheetView>
  </sheetViews>
  <sheetFormatPr defaultRowHeight="15" x14ac:dyDescent="0.25"/>
  <cols>
    <col min="1" max="1" width="9.140625" style="1455"/>
    <col min="2" max="2" width="5.42578125" style="1455" customWidth="1"/>
    <col min="3" max="3" width="21.5703125" style="1455" customWidth="1"/>
    <col min="4" max="9" width="15.42578125" style="1455" customWidth="1"/>
    <col min="10" max="16384" width="9.140625" style="1455"/>
  </cols>
  <sheetData>
    <row r="3" spans="2:9" ht="21" x14ac:dyDescent="0.35">
      <c r="B3" s="2134" t="s">
        <v>3767</v>
      </c>
      <c r="C3" s="2134"/>
      <c r="D3" s="2134"/>
      <c r="E3" s="2134"/>
      <c r="F3" s="2134"/>
      <c r="G3" s="2134"/>
      <c r="H3" s="2134"/>
      <c r="I3" s="2134"/>
    </row>
    <row r="4" spans="2:9" ht="15.75" thickBot="1" x14ac:dyDescent="0.3"/>
    <row r="5" spans="2:9" ht="15.75" x14ac:dyDescent="0.25">
      <c r="B5" s="1456" t="s">
        <v>3768</v>
      </c>
      <c r="C5" s="1457" t="s">
        <v>3769</v>
      </c>
      <c r="D5" s="1457">
        <v>2016</v>
      </c>
      <c r="E5" s="1457">
        <v>2017</v>
      </c>
      <c r="F5" s="1457">
        <v>2018</v>
      </c>
      <c r="G5" s="1457">
        <v>2019</v>
      </c>
      <c r="H5" s="1457">
        <v>2020</v>
      </c>
      <c r="I5" s="1458">
        <v>2021</v>
      </c>
    </row>
    <row r="6" spans="2:9" x14ac:dyDescent="0.25">
      <c r="B6" s="1459">
        <v>1</v>
      </c>
      <c r="C6" s="1460" t="s">
        <v>3770</v>
      </c>
      <c r="D6" s="1465">
        <v>894633000</v>
      </c>
      <c r="E6" s="1465">
        <v>894633000</v>
      </c>
      <c r="F6" s="1465">
        <f t="shared" ref="F6:F41" si="0">E6+10/100*E6</f>
        <v>984096300</v>
      </c>
      <c r="G6" s="1465">
        <f t="shared" ref="G6:G41" si="1">F6+10/100*F6</f>
        <v>1082505930</v>
      </c>
      <c r="H6" s="1465">
        <f t="shared" ref="H6:H41" si="2">G6+10/100*G6</f>
        <v>1190756523</v>
      </c>
      <c r="I6" s="1466">
        <f>H6+10/100*H6</f>
        <v>1309832175.3</v>
      </c>
    </row>
    <row r="7" spans="2:9" x14ac:dyDescent="0.25">
      <c r="B7" s="1459">
        <v>2</v>
      </c>
      <c r="C7" s="1460" t="s">
        <v>3771</v>
      </c>
      <c r="D7" s="1465">
        <v>1921914000</v>
      </c>
      <c r="E7" s="1465">
        <v>1888308000</v>
      </c>
      <c r="F7" s="1465">
        <f t="shared" si="0"/>
        <v>2077138800</v>
      </c>
      <c r="G7" s="1465">
        <f t="shared" si="1"/>
        <v>2284852680</v>
      </c>
      <c r="H7" s="1465">
        <f t="shared" si="2"/>
        <v>2513337948</v>
      </c>
      <c r="I7" s="1466">
        <f t="shared" ref="I7:I41" si="3">H7+10/100*H7</f>
        <v>2764671742.8000002</v>
      </c>
    </row>
    <row r="8" spans="2:9" x14ac:dyDescent="0.25">
      <c r="B8" s="1459">
        <v>3</v>
      </c>
      <c r="C8" s="1460" t="s">
        <v>3772</v>
      </c>
      <c r="D8" s="1465">
        <v>966256000</v>
      </c>
      <c r="E8" s="1465">
        <v>924533000</v>
      </c>
      <c r="F8" s="1465">
        <f t="shared" si="0"/>
        <v>1016986300</v>
      </c>
      <c r="G8" s="1465">
        <f t="shared" si="1"/>
        <v>1118684930</v>
      </c>
      <c r="H8" s="1465">
        <f t="shared" si="2"/>
        <v>1230553423</v>
      </c>
      <c r="I8" s="1466">
        <f t="shared" si="3"/>
        <v>1353608765.3</v>
      </c>
    </row>
    <row r="9" spans="2:9" x14ac:dyDescent="0.25">
      <c r="B9" s="1459">
        <v>4</v>
      </c>
      <c r="C9" s="1460" t="s">
        <v>3773</v>
      </c>
      <c r="D9" s="1465">
        <v>686203000</v>
      </c>
      <c r="E9" s="1465">
        <v>656204000</v>
      </c>
      <c r="F9" s="1465">
        <f t="shared" si="0"/>
        <v>721824400</v>
      </c>
      <c r="G9" s="1465">
        <f t="shared" si="1"/>
        <v>794006840</v>
      </c>
      <c r="H9" s="1465">
        <f t="shared" si="2"/>
        <v>873407524</v>
      </c>
      <c r="I9" s="1466">
        <f t="shared" si="3"/>
        <v>960748276.39999998</v>
      </c>
    </row>
    <row r="10" spans="2:9" x14ac:dyDescent="0.25">
      <c r="B10" s="1459">
        <v>5</v>
      </c>
      <c r="C10" s="1461" t="s">
        <v>3774</v>
      </c>
      <c r="D10" s="1467">
        <v>1064731000</v>
      </c>
      <c r="E10" s="1467">
        <v>1116671000</v>
      </c>
      <c r="F10" s="1465">
        <f t="shared" si="0"/>
        <v>1228338100</v>
      </c>
      <c r="G10" s="1465">
        <f t="shared" si="1"/>
        <v>1351171910</v>
      </c>
      <c r="H10" s="1465">
        <f t="shared" si="2"/>
        <v>1486289101</v>
      </c>
      <c r="I10" s="1466">
        <f t="shared" si="3"/>
        <v>1634918011.0999999</v>
      </c>
    </row>
    <row r="11" spans="2:9" x14ac:dyDescent="0.25">
      <c r="B11" s="1459">
        <v>6</v>
      </c>
      <c r="C11" s="1460" t="s">
        <v>3775</v>
      </c>
      <c r="D11" s="1465">
        <v>813386000</v>
      </c>
      <c r="E11" s="1465">
        <v>723096000</v>
      </c>
      <c r="F11" s="1465">
        <f t="shared" si="0"/>
        <v>795405600</v>
      </c>
      <c r="G11" s="1465">
        <f t="shared" si="1"/>
        <v>874946160</v>
      </c>
      <c r="H11" s="1465">
        <f t="shared" si="2"/>
        <v>962440776</v>
      </c>
      <c r="I11" s="1466">
        <f t="shared" si="3"/>
        <v>1058684853.6</v>
      </c>
    </row>
    <row r="12" spans="2:9" x14ac:dyDescent="0.25">
      <c r="B12" s="1459">
        <v>7</v>
      </c>
      <c r="C12" s="1460" t="s">
        <v>3776</v>
      </c>
      <c r="D12" s="1465">
        <v>527992000</v>
      </c>
      <c r="E12" s="1465">
        <v>538746000</v>
      </c>
      <c r="F12" s="1465">
        <f t="shared" si="0"/>
        <v>592620600</v>
      </c>
      <c r="G12" s="1465">
        <f t="shared" si="1"/>
        <v>651882660</v>
      </c>
      <c r="H12" s="1465">
        <f t="shared" si="2"/>
        <v>717070926</v>
      </c>
      <c r="I12" s="1466">
        <f t="shared" si="3"/>
        <v>788778018.60000002</v>
      </c>
    </row>
    <row r="13" spans="2:9" x14ac:dyDescent="0.25">
      <c r="B13" s="1459">
        <v>8</v>
      </c>
      <c r="C13" s="1461" t="s">
        <v>3777</v>
      </c>
      <c r="D13" s="1467">
        <v>1359914000</v>
      </c>
      <c r="E13" s="1467">
        <v>1255155000</v>
      </c>
      <c r="F13" s="1465">
        <f t="shared" si="0"/>
        <v>1380670500</v>
      </c>
      <c r="G13" s="1465">
        <f t="shared" si="1"/>
        <v>1518737550</v>
      </c>
      <c r="H13" s="1465">
        <f t="shared" si="2"/>
        <v>1670611305</v>
      </c>
      <c r="I13" s="1466">
        <f t="shared" si="3"/>
        <v>1837672435.5</v>
      </c>
    </row>
    <row r="14" spans="2:9" x14ac:dyDescent="0.25">
      <c r="B14" s="1459">
        <v>9</v>
      </c>
      <c r="C14" s="1460" t="s">
        <v>3778</v>
      </c>
      <c r="D14" s="1465">
        <v>690768000</v>
      </c>
      <c r="E14" s="1465">
        <v>669365000</v>
      </c>
      <c r="F14" s="1465">
        <f t="shared" si="0"/>
        <v>736301500</v>
      </c>
      <c r="G14" s="1465">
        <f t="shared" si="1"/>
        <v>809931650</v>
      </c>
      <c r="H14" s="1465">
        <f t="shared" si="2"/>
        <v>890924815</v>
      </c>
      <c r="I14" s="1466">
        <f t="shared" si="3"/>
        <v>980017296.5</v>
      </c>
    </row>
    <row r="15" spans="2:9" x14ac:dyDescent="0.25">
      <c r="B15" s="1459">
        <v>10</v>
      </c>
      <c r="C15" s="1460" t="s">
        <v>3779</v>
      </c>
      <c r="D15" s="1465">
        <v>695679000</v>
      </c>
      <c r="E15" s="1465">
        <v>600117000</v>
      </c>
      <c r="F15" s="1465">
        <f t="shared" si="0"/>
        <v>660128700</v>
      </c>
      <c r="G15" s="1465">
        <f t="shared" si="1"/>
        <v>726141570</v>
      </c>
      <c r="H15" s="1465">
        <f t="shared" si="2"/>
        <v>798755727</v>
      </c>
      <c r="I15" s="1466">
        <f t="shared" si="3"/>
        <v>878631299.70000005</v>
      </c>
    </row>
    <row r="16" spans="2:9" x14ac:dyDescent="0.25">
      <c r="B16" s="1459">
        <v>11</v>
      </c>
      <c r="C16" s="1461" t="s">
        <v>3780</v>
      </c>
      <c r="D16" s="1467">
        <v>563475000</v>
      </c>
      <c r="E16" s="1467">
        <v>521777000</v>
      </c>
      <c r="F16" s="1465">
        <f t="shared" si="0"/>
        <v>573954700</v>
      </c>
      <c r="G16" s="1465">
        <f t="shared" si="1"/>
        <v>631350170</v>
      </c>
      <c r="H16" s="1465">
        <f t="shared" si="2"/>
        <v>694485187</v>
      </c>
      <c r="I16" s="1466">
        <f t="shared" si="3"/>
        <v>763933705.70000005</v>
      </c>
    </row>
    <row r="17" spans="2:9" x14ac:dyDescent="0.25">
      <c r="B17" s="1459">
        <v>12</v>
      </c>
      <c r="C17" s="1461" t="s">
        <v>3781</v>
      </c>
      <c r="D17" s="1467">
        <v>736808000</v>
      </c>
      <c r="E17" s="1467">
        <v>700085000</v>
      </c>
      <c r="F17" s="1465">
        <f t="shared" si="0"/>
        <v>770093500</v>
      </c>
      <c r="G17" s="1465">
        <f t="shared" si="1"/>
        <v>847102850</v>
      </c>
      <c r="H17" s="1465">
        <f t="shared" si="2"/>
        <v>931813135</v>
      </c>
      <c r="I17" s="1466">
        <f t="shared" si="3"/>
        <v>1024994448.5</v>
      </c>
    </row>
    <row r="18" spans="2:9" x14ac:dyDescent="0.25">
      <c r="B18" s="1459">
        <v>13</v>
      </c>
      <c r="C18" s="1461" t="s">
        <v>3782</v>
      </c>
      <c r="D18" s="1467">
        <v>876834000</v>
      </c>
      <c r="E18" s="1467">
        <v>785157100</v>
      </c>
      <c r="F18" s="1465">
        <f t="shared" si="0"/>
        <v>863672810</v>
      </c>
      <c r="G18" s="1465">
        <f t="shared" si="1"/>
        <v>950040091</v>
      </c>
      <c r="H18" s="1465">
        <f t="shared" si="2"/>
        <v>1045044100.1</v>
      </c>
      <c r="I18" s="1466">
        <f t="shared" si="3"/>
        <v>1149548510.1100001</v>
      </c>
    </row>
    <row r="19" spans="2:9" x14ac:dyDescent="0.25">
      <c r="B19" s="1459">
        <v>14</v>
      </c>
      <c r="C19" s="1461" t="s">
        <v>3783</v>
      </c>
      <c r="D19" s="1467">
        <v>972518000</v>
      </c>
      <c r="E19" s="1467">
        <v>931257000</v>
      </c>
      <c r="F19" s="1465">
        <f t="shared" si="0"/>
        <v>1024382700</v>
      </c>
      <c r="G19" s="1465">
        <f t="shared" si="1"/>
        <v>1126820970</v>
      </c>
      <c r="H19" s="1465">
        <f t="shared" si="2"/>
        <v>1239503067</v>
      </c>
      <c r="I19" s="1466">
        <f t="shared" si="3"/>
        <v>1363453373.7</v>
      </c>
    </row>
    <row r="20" spans="2:9" x14ac:dyDescent="0.25">
      <c r="B20" s="1459">
        <v>15</v>
      </c>
      <c r="C20" s="1461" t="s">
        <v>3784</v>
      </c>
      <c r="D20" s="1467">
        <v>870719000</v>
      </c>
      <c r="E20" s="1467">
        <v>802694000</v>
      </c>
      <c r="F20" s="1465">
        <f t="shared" si="0"/>
        <v>882963400</v>
      </c>
      <c r="G20" s="1465">
        <f t="shared" si="1"/>
        <v>971259740</v>
      </c>
      <c r="H20" s="1465">
        <f t="shared" si="2"/>
        <v>1068385714</v>
      </c>
      <c r="I20" s="1466">
        <f t="shared" si="3"/>
        <v>1175224285.4000001</v>
      </c>
    </row>
    <row r="21" spans="2:9" x14ac:dyDescent="0.25">
      <c r="B21" s="1459">
        <v>16</v>
      </c>
      <c r="C21" s="1460" t="s">
        <v>3785</v>
      </c>
      <c r="D21" s="1465">
        <v>1440645000</v>
      </c>
      <c r="E21" s="1465">
        <v>1320242000</v>
      </c>
      <c r="F21" s="1465">
        <f t="shared" si="0"/>
        <v>1452266200</v>
      </c>
      <c r="G21" s="1465">
        <f t="shared" si="1"/>
        <v>1597492820</v>
      </c>
      <c r="H21" s="1465">
        <f t="shared" si="2"/>
        <v>1757242102</v>
      </c>
      <c r="I21" s="1466">
        <f t="shared" si="3"/>
        <v>1932966312.2</v>
      </c>
    </row>
    <row r="22" spans="2:9" x14ac:dyDescent="0.25">
      <c r="B22" s="1459">
        <v>17</v>
      </c>
      <c r="C22" s="1461" t="s">
        <v>3786</v>
      </c>
      <c r="D22" s="1467">
        <v>1037710000</v>
      </c>
      <c r="E22" s="1467">
        <v>1036783000</v>
      </c>
      <c r="F22" s="1465">
        <f t="shared" si="0"/>
        <v>1140461300</v>
      </c>
      <c r="G22" s="1465">
        <f t="shared" si="1"/>
        <v>1254507430</v>
      </c>
      <c r="H22" s="1465">
        <f t="shared" si="2"/>
        <v>1379958173</v>
      </c>
      <c r="I22" s="1466">
        <f t="shared" si="3"/>
        <v>1517953990.3</v>
      </c>
    </row>
    <row r="23" spans="2:9" x14ac:dyDescent="0.25">
      <c r="B23" s="1459">
        <v>18</v>
      </c>
      <c r="C23" s="1460" t="s">
        <v>3787</v>
      </c>
      <c r="D23" s="1465">
        <v>1065393000</v>
      </c>
      <c r="E23" s="1465">
        <v>1032427000</v>
      </c>
      <c r="F23" s="1465">
        <f t="shared" si="0"/>
        <v>1135669700</v>
      </c>
      <c r="G23" s="1465">
        <f t="shared" si="1"/>
        <v>1249236670</v>
      </c>
      <c r="H23" s="1465">
        <f t="shared" si="2"/>
        <v>1374160337</v>
      </c>
      <c r="I23" s="1466">
        <f t="shared" si="3"/>
        <v>1511576370.7</v>
      </c>
    </row>
    <row r="24" spans="2:9" x14ac:dyDescent="0.25">
      <c r="B24" s="1459">
        <v>19</v>
      </c>
      <c r="C24" s="1461" t="s">
        <v>3788</v>
      </c>
      <c r="D24" s="1467">
        <v>666998000</v>
      </c>
      <c r="E24" s="1467">
        <v>647626000</v>
      </c>
      <c r="F24" s="1465">
        <f t="shared" si="0"/>
        <v>712388600</v>
      </c>
      <c r="G24" s="1465">
        <f t="shared" si="1"/>
        <v>783627460</v>
      </c>
      <c r="H24" s="1465">
        <f t="shared" si="2"/>
        <v>861990206</v>
      </c>
      <c r="I24" s="1466">
        <f t="shared" si="3"/>
        <v>948189226.60000002</v>
      </c>
    </row>
    <row r="25" spans="2:9" x14ac:dyDescent="0.25">
      <c r="B25" s="1459">
        <v>20</v>
      </c>
      <c r="C25" s="1461" t="s">
        <v>3789</v>
      </c>
      <c r="D25" s="1467">
        <v>963059000</v>
      </c>
      <c r="E25" s="1467">
        <v>881862000</v>
      </c>
      <c r="F25" s="1465">
        <f t="shared" si="0"/>
        <v>970048200</v>
      </c>
      <c r="G25" s="1465">
        <f t="shared" si="1"/>
        <v>1067053020</v>
      </c>
      <c r="H25" s="1465">
        <f t="shared" si="2"/>
        <v>1173758322</v>
      </c>
      <c r="I25" s="1466">
        <f t="shared" si="3"/>
        <v>1291134154.2</v>
      </c>
    </row>
    <row r="26" spans="2:9" x14ac:dyDescent="0.25">
      <c r="B26" s="1459">
        <v>21</v>
      </c>
      <c r="C26" s="1460" t="s">
        <v>3790</v>
      </c>
      <c r="D26" s="1465">
        <v>661317000</v>
      </c>
      <c r="E26" s="1465">
        <v>648547000</v>
      </c>
      <c r="F26" s="1465">
        <f t="shared" si="0"/>
        <v>713401700</v>
      </c>
      <c r="G26" s="1465">
        <f t="shared" si="1"/>
        <v>784741870</v>
      </c>
      <c r="H26" s="1465">
        <f t="shared" si="2"/>
        <v>863216057</v>
      </c>
      <c r="I26" s="1466">
        <f t="shared" si="3"/>
        <v>949537662.70000005</v>
      </c>
    </row>
    <row r="27" spans="2:9" x14ac:dyDescent="0.25">
      <c r="B27" s="1459">
        <v>22</v>
      </c>
      <c r="C27" s="1461" t="s">
        <v>3791</v>
      </c>
      <c r="D27" s="1467">
        <v>1686975000</v>
      </c>
      <c r="E27" s="1467">
        <v>1749631000</v>
      </c>
      <c r="F27" s="1465">
        <f t="shared" si="0"/>
        <v>1924594100</v>
      </c>
      <c r="G27" s="1465">
        <f t="shared" si="1"/>
        <v>2117053510</v>
      </c>
      <c r="H27" s="1465">
        <f t="shared" si="2"/>
        <v>2328758861</v>
      </c>
      <c r="I27" s="1466">
        <f t="shared" si="3"/>
        <v>2561634747.0999999</v>
      </c>
    </row>
    <row r="28" spans="2:9" x14ac:dyDescent="0.25">
      <c r="B28" s="1459">
        <v>23</v>
      </c>
      <c r="C28" s="1460" t="s">
        <v>3792</v>
      </c>
      <c r="D28" s="1465">
        <v>1277368000</v>
      </c>
      <c r="E28" s="1465">
        <v>1228515000</v>
      </c>
      <c r="F28" s="1465">
        <f t="shared" si="0"/>
        <v>1351366500</v>
      </c>
      <c r="G28" s="1465">
        <f t="shared" si="1"/>
        <v>1486503150</v>
      </c>
      <c r="H28" s="1465">
        <f t="shared" si="2"/>
        <v>1635153465</v>
      </c>
      <c r="I28" s="1466">
        <f t="shared" si="3"/>
        <v>1798668811.5</v>
      </c>
    </row>
    <row r="29" spans="2:9" x14ac:dyDescent="0.25">
      <c r="B29" s="1459">
        <v>25</v>
      </c>
      <c r="C29" s="1461" t="s">
        <v>3793</v>
      </c>
      <c r="D29" s="1467">
        <v>1393081000</v>
      </c>
      <c r="E29" s="1467">
        <v>1419902000</v>
      </c>
      <c r="F29" s="1465">
        <f t="shared" si="0"/>
        <v>1561892200</v>
      </c>
      <c r="G29" s="1465">
        <f t="shared" si="1"/>
        <v>1718081420</v>
      </c>
      <c r="H29" s="1465">
        <f t="shared" si="2"/>
        <v>1889889562</v>
      </c>
      <c r="I29" s="1466">
        <f t="shared" si="3"/>
        <v>2078878518.2</v>
      </c>
    </row>
    <row r="30" spans="2:9" x14ac:dyDescent="0.25">
      <c r="B30" s="1459">
        <v>26</v>
      </c>
      <c r="C30" s="1461" t="s">
        <v>3794</v>
      </c>
      <c r="D30" s="1467">
        <v>510788000</v>
      </c>
      <c r="E30" s="1467">
        <v>604961000</v>
      </c>
      <c r="F30" s="1465">
        <f t="shared" si="0"/>
        <v>665457100</v>
      </c>
      <c r="G30" s="1465">
        <f t="shared" si="1"/>
        <v>732002810</v>
      </c>
      <c r="H30" s="1465">
        <f t="shared" si="2"/>
        <v>805203091</v>
      </c>
      <c r="I30" s="1466">
        <f t="shared" si="3"/>
        <v>885723400.10000002</v>
      </c>
    </row>
    <row r="31" spans="2:9" x14ac:dyDescent="0.25">
      <c r="B31" s="1459">
        <v>27</v>
      </c>
      <c r="C31" s="1461" t="s">
        <v>3795</v>
      </c>
      <c r="D31" s="1467">
        <v>1540997000</v>
      </c>
      <c r="E31" s="1467">
        <v>1740715000</v>
      </c>
      <c r="F31" s="1465">
        <f t="shared" si="0"/>
        <v>1914786500</v>
      </c>
      <c r="G31" s="1465">
        <f t="shared" si="1"/>
        <v>2106265150</v>
      </c>
      <c r="H31" s="1465">
        <f t="shared" si="2"/>
        <v>2316891665</v>
      </c>
      <c r="I31" s="1466">
        <f t="shared" si="3"/>
        <v>2548580831.5</v>
      </c>
    </row>
    <row r="32" spans="2:9" x14ac:dyDescent="0.25">
      <c r="B32" s="1459">
        <v>28</v>
      </c>
      <c r="C32" s="1461" t="s">
        <v>3796</v>
      </c>
      <c r="D32" s="1467">
        <v>1459298000</v>
      </c>
      <c r="E32" s="1467">
        <v>1430670000</v>
      </c>
      <c r="F32" s="1465">
        <f t="shared" si="0"/>
        <v>1573737000</v>
      </c>
      <c r="G32" s="1465">
        <f t="shared" si="1"/>
        <v>1731110700</v>
      </c>
      <c r="H32" s="1465">
        <f t="shared" si="2"/>
        <v>1904221770</v>
      </c>
      <c r="I32" s="1466">
        <f t="shared" si="3"/>
        <v>2094643947</v>
      </c>
    </row>
    <row r="33" spans="2:9" x14ac:dyDescent="0.25">
      <c r="B33" s="1459">
        <v>29</v>
      </c>
      <c r="C33" s="1460" t="s">
        <v>3797</v>
      </c>
      <c r="D33" s="1465">
        <v>547697000</v>
      </c>
      <c r="E33" s="1465">
        <v>538800000</v>
      </c>
      <c r="F33" s="1465">
        <f t="shared" si="0"/>
        <v>592680000</v>
      </c>
      <c r="G33" s="1465">
        <f t="shared" si="1"/>
        <v>651948000</v>
      </c>
      <c r="H33" s="1465">
        <f t="shared" si="2"/>
        <v>717142800</v>
      </c>
      <c r="I33" s="1466">
        <f t="shared" si="3"/>
        <v>788857080</v>
      </c>
    </row>
    <row r="34" spans="2:9" x14ac:dyDescent="0.25">
      <c r="B34" s="1459">
        <v>30</v>
      </c>
      <c r="C34" s="1461" t="s">
        <v>3798</v>
      </c>
      <c r="D34" s="1467">
        <v>1058063000</v>
      </c>
      <c r="E34" s="1467">
        <v>662140400</v>
      </c>
      <c r="F34" s="1465">
        <f t="shared" si="0"/>
        <v>728354440</v>
      </c>
      <c r="G34" s="1465">
        <f t="shared" si="1"/>
        <v>801189884</v>
      </c>
      <c r="H34" s="1465">
        <f t="shared" si="2"/>
        <v>881308872.39999998</v>
      </c>
      <c r="I34" s="1466">
        <f t="shared" si="3"/>
        <v>969439759.63999999</v>
      </c>
    </row>
    <row r="35" spans="2:9" x14ac:dyDescent="0.25">
      <c r="B35" s="1459">
        <v>31</v>
      </c>
      <c r="C35" s="1461" t="s">
        <v>3799</v>
      </c>
      <c r="D35" s="1467">
        <v>1280806000</v>
      </c>
      <c r="E35" s="1467">
        <v>1163669000</v>
      </c>
      <c r="F35" s="1465">
        <f t="shared" si="0"/>
        <v>1280035900</v>
      </c>
      <c r="G35" s="1465">
        <f t="shared" si="1"/>
        <v>1408039490</v>
      </c>
      <c r="H35" s="1465">
        <f t="shared" si="2"/>
        <v>1548843439</v>
      </c>
      <c r="I35" s="1466">
        <f t="shared" si="3"/>
        <v>1703727782.9000001</v>
      </c>
    </row>
    <row r="36" spans="2:9" x14ac:dyDescent="0.25">
      <c r="B36" s="1459">
        <v>32</v>
      </c>
      <c r="C36" s="1461" t="s">
        <v>3800</v>
      </c>
      <c r="D36" s="1467">
        <v>1404379000</v>
      </c>
      <c r="E36" s="1467">
        <v>1257387000</v>
      </c>
      <c r="F36" s="1465">
        <f t="shared" si="0"/>
        <v>1383125700</v>
      </c>
      <c r="G36" s="1465">
        <f t="shared" si="1"/>
        <v>1521438270</v>
      </c>
      <c r="H36" s="1465">
        <f t="shared" si="2"/>
        <v>1673582097</v>
      </c>
      <c r="I36" s="1466">
        <f t="shared" si="3"/>
        <v>1840940306.7</v>
      </c>
    </row>
    <row r="37" spans="2:9" x14ac:dyDescent="0.25">
      <c r="B37" s="1459">
        <v>33</v>
      </c>
      <c r="C37" s="1461" t="s">
        <v>3801</v>
      </c>
      <c r="D37" s="1467">
        <v>719977000</v>
      </c>
      <c r="E37" s="1467">
        <v>621533000</v>
      </c>
      <c r="F37" s="1465">
        <f t="shared" si="0"/>
        <v>683686300</v>
      </c>
      <c r="G37" s="1465">
        <f t="shared" si="1"/>
        <v>752054930</v>
      </c>
      <c r="H37" s="1465">
        <f t="shared" si="2"/>
        <v>827260423</v>
      </c>
      <c r="I37" s="1466">
        <f t="shared" si="3"/>
        <v>909986465.29999995</v>
      </c>
    </row>
    <row r="38" spans="2:9" x14ac:dyDescent="0.25">
      <c r="B38" s="1459">
        <v>34</v>
      </c>
      <c r="C38" s="1461" t="s">
        <v>3802</v>
      </c>
      <c r="D38" s="1467">
        <v>1192762000</v>
      </c>
      <c r="E38" s="1467">
        <v>1056009900</v>
      </c>
      <c r="F38" s="1465">
        <f t="shared" si="0"/>
        <v>1161610890</v>
      </c>
      <c r="G38" s="1465">
        <f t="shared" si="1"/>
        <v>1277771979</v>
      </c>
      <c r="H38" s="1465">
        <f t="shared" si="2"/>
        <v>1405549176.9000001</v>
      </c>
      <c r="I38" s="1466">
        <f t="shared" si="3"/>
        <v>1546104094.5900002</v>
      </c>
    </row>
    <row r="39" spans="2:9" x14ac:dyDescent="0.25">
      <c r="B39" s="1459">
        <v>35</v>
      </c>
      <c r="C39" s="1461" t="s">
        <v>3803</v>
      </c>
      <c r="D39" s="1467">
        <v>739525000</v>
      </c>
      <c r="E39" s="1467">
        <v>676649000</v>
      </c>
      <c r="F39" s="1465">
        <f t="shared" si="0"/>
        <v>744313900</v>
      </c>
      <c r="G39" s="1465">
        <f t="shared" si="1"/>
        <v>818745290</v>
      </c>
      <c r="H39" s="1465">
        <f t="shared" si="2"/>
        <v>900619819</v>
      </c>
      <c r="I39" s="1466">
        <f t="shared" si="3"/>
        <v>990681800.89999998</v>
      </c>
    </row>
    <row r="40" spans="2:9" x14ac:dyDescent="0.25">
      <c r="B40" s="1459">
        <v>36</v>
      </c>
      <c r="C40" s="1460" t="s">
        <v>3804</v>
      </c>
      <c r="D40" s="1465">
        <v>179039000</v>
      </c>
      <c r="E40" s="1465">
        <v>1083081000</v>
      </c>
      <c r="F40" s="1465">
        <f t="shared" si="0"/>
        <v>1191389100</v>
      </c>
      <c r="G40" s="1465">
        <f t="shared" si="1"/>
        <v>1310528010</v>
      </c>
      <c r="H40" s="1465">
        <f t="shared" si="2"/>
        <v>1441580811</v>
      </c>
      <c r="I40" s="1466">
        <f t="shared" si="3"/>
        <v>1585738892.0999999</v>
      </c>
    </row>
    <row r="41" spans="2:9" x14ac:dyDescent="0.25">
      <c r="B41" s="1459">
        <v>37</v>
      </c>
      <c r="C41" s="1461" t="s">
        <v>3805</v>
      </c>
      <c r="D41" s="1467">
        <v>597200000</v>
      </c>
      <c r="E41" s="1467">
        <v>920000000</v>
      </c>
      <c r="F41" s="1465">
        <f t="shared" si="0"/>
        <v>1012000000</v>
      </c>
      <c r="G41" s="1465">
        <f t="shared" si="1"/>
        <v>1113200000</v>
      </c>
      <c r="H41" s="1465">
        <f t="shared" si="2"/>
        <v>1224520000</v>
      </c>
      <c r="I41" s="1466">
        <f t="shared" si="3"/>
        <v>1346972000</v>
      </c>
    </row>
    <row r="42" spans="2:9" ht="15.75" thickBot="1" x14ac:dyDescent="0.3">
      <c r="B42" s="1462"/>
      <c r="C42" s="1463"/>
      <c r="D42" s="1463"/>
      <c r="E42" s="1463"/>
      <c r="F42" s="1463"/>
      <c r="G42" s="1463"/>
      <c r="H42" s="1463"/>
      <c r="I42" s="1464"/>
    </row>
  </sheetData>
  <mergeCells count="1">
    <mergeCell ref="B3:I3"/>
  </mergeCells>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tabSelected="1" workbookViewId="0">
      <pane xSplit="4" ySplit="6" topLeftCell="E82" activePane="bottomRight" state="frozen"/>
      <selection pane="topRight" activeCell="E1" sqref="E1"/>
      <selection pane="bottomLeft" activeCell="A7" sqref="A7"/>
      <selection pane="bottomRight" activeCell="B82" sqref="B82"/>
    </sheetView>
  </sheetViews>
  <sheetFormatPr defaultRowHeight="15" x14ac:dyDescent="0.25"/>
  <cols>
    <col min="1" max="1" width="13.140625" customWidth="1"/>
    <col min="3" max="3" width="19.42578125" bestFit="1" customWidth="1"/>
    <col min="5" max="5" width="10.5703125" customWidth="1"/>
    <col min="7" max="7" width="12.42578125" customWidth="1"/>
    <col min="10" max="10" width="10.28515625" bestFit="1" customWidth="1"/>
    <col min="11" max="11" width="11.28515625" bestFit="1" customWidth="1"/>
    <col min="12" max="12" width="10.42578125" customWidth="1"/>
    <col min="13" max="13" width="11.28515625" bestFit="1" customWidth="1"/>
    <col min="14" max="14" width="10.28515625" bestFit="1" customWidth="1"/>
    <col min="15" max="15" width="11.28515625" bestFit="1" customWidth="1"/>
    <col min="16" max="16" width="10.28515625" bestFit="1" customWidth="1"/>
    <col min="17" max="17" width="11.28515625" bestFit="1" customWidth="1"/>
    <col min="18" max="18" width="10.28515625" bestFit="1" customWidth="1"/>
    <col min="19" max="19" width="11.28515625" bestFit="1" customWidth="1"/>
    <col min="20" max="20" width="10.28515625" bestFit="1" customWidth="1"/>
    <col min="21" max="21" width="11.28515625" bestFit="1" customWidth="1"/>
  </cols>
  <sheetData>
    <row r="1" spans="1:24" x14ac:dyDescent="0.25">
      <c r="A1" s="2102" t="s">
        <v>965</v>
      </c>
      <c r="B1" s="2102"/>
      <c r="C1" s="2102"/>
      <c r="D1" s="2102"/>
      <c r="E1" s="2102"/>
      <c r="F1" s="2102"/>
      <c r="G1" s="2102"/>
      <c r="H1" s="2102"/>
      <c r="I1" s="2102"/>
      <c r="J1" s="2102"/>
      <c r="K1" s="2102"/>
      <c r="L1" s="2102"/>
      <c r="M1" s="2102"/>
      <c r="N1" s="2102"/>
      <c r="O1" s="2102"/>
      <c r="P1" s="2102"/>
      <c r="Q1" s="2102"/>
      <c r="R1" s="2102"/>
      <c r="S1" s="2102"/>
      <c r="T1" s="2102"/>
      <c r="U1" s="2102"/>
      <c r="V1" s="2102"/>
    </row>
    <row r="2" spans="1:24" ht="15.75" thickBot="1" x14ac:dyDescent="0.3">
      <c r="A2" s="883" t="s">
        <v>4111</v>
      </c>
      <c r="B2" s="1238"/>
      <c r="C2" s="1238"/>
      <c r="D2" s="1238"/>
      <c r="E2" s="1238"/>
      <c r="F2" s="1238"/>
      <c r="G2" s="1238"/>
      <c r="H2" s="1238"/>
      <c r="I2" s="1238"/>
      <c r="J2" s="1238"/>
      <c r="K2" s="1238"/>
      <c r="L2" s="1238"/>
      <c r="M2" s="1238"/>
      <c r="N2" s="1238"/>
      <c r="O2" s="1238"/>
      <c r="P2" s="1238"/>
      <c r="Q2" s="1238"/>
      <c r="R2" s="1238"/>
      <c r="S2" s="1238"/>
      <c r="T2" s="1238"/>
      <c r="U2" s="1238"/>
      <c r="V2" s="1238"/>
      <c r="W2" s="1238"/>
      <c r="X2" s="1238"/>
    </row>
    <row r="3" spans="1:24" ht="15.75" thickTop="1" x14ac:dyDescent="0.25">
      <c r="A3" s="2045" t="s">
        <v>494</v>
      </c>
      <c r="B3" s="2040" t="s">
        <v>752</v>
      </c>
      <c r="C3" s="2040" t="s">
        <v>576</v>
      </c>
      <c r="D3" s="2040" t="s">
        <v>577</v>
      </c>
      <c r="E3" s="2040" t="s">
        <v>3127</v>
      </c>
      <c r="F3" s="2040" t="s">
        <v>3128</v>
      </c>
      <c r="G3" s="2040" t="s">
        <v>966</v>
      </c>
      <c r="H3" s="2040" t="s">
        <v>421</v>
      </c>
      <c r="I3" s="2055" t="s">
        <v>967</v>
      </c>
      <c r="J3" s="2053" t="s">
        <v>7</v>
      </c>
      <c r="K3" s="2054"/>
      <c r="L3" s="2054"/>
      <c r="M3" s="2054"/>
      <c r="N3" s="2054"/>
      <c r="O3" s="2054"/>
      <c r="P3" s="2054"/>
      <c r="Q3" s="2054"/>
      <c r="R3" s="2054"/>
      <c r="S3" s="2054"/>
      <c r="T3" s="2054"/>
      <c r="U3" s="2054"/>
      <c r="V3" s="2054"/>
      <c r="W3" s="2040" t="s">
        <v>653</v>
      </c>
      <c r="X3" s="2049" t="s">
        <v>1147</v>
      </c>
    </row>
    <row r="4" spans="1:24" x14ac:dyDescent="0.25">
      <c r="A4" s="2046"/>
      <c r="B4" s="2041"/>
      <c r="C4" s="2041"/>
      <c r="D4" s="2041"/>
      <c r="E4" s="2041"/>
      <c r="F4" s="2041"/>
      <c r="G4" s="2041"/>
      <c r="H4" s="2041"/>
      <c r="I4" s="2052"/>
      <c r="J4" s="2051" t="s">
        <v>114</v>
      </c>
      <c r="K4" s="2038"/>
      <c r="L4" s="2051" t="s">
        <v>115</v>
      </c>
      <c r="M4" s="2038"/>
      <c r="N4" s="2051" t="s">
        <v>116</v>
      </c>
      <c r="O4" s="2038"/>
      <c r="P4" s="2051" t="s">
        <v>117</v>
      </c>
      <c r="Q4" s="2038"/>
      <c r="R4" s="2051" t="s">
        <v>118</v>
      </c>
      <c r="S4" s="2038"/>
      <c r="T4" s="2051" t="s">
        <v>119</v>
      </c>
      <c r="U4" s="2038"/>
      <c r="V4" s="2052" t="s">
        <v>968</v>
      </c>
      <c r="W4" s="2041"/>
      <c r="X4" s="2050"/>
    </row>
    <row r="5" spans="1:24" ht="123" customHeight="1" x14ac:dyDescent="0.25">
      <c r="A5" s="2046"/>
      <c r="B5" s="2041"/>
      <c r="C5" s="2041"/>
      <c r="D5" s="2041"/>
      <c r="E5" s="2041"/>
      <c r="F5" s="2041"/>
      <c r="G5" s="2041"/>
      <c r="H5" s="2041"/>
      <c r="I5" s="2052"/>
      <c r="J5" s="1906" t="s">
        <v>9</v>
      </c>
      <c r="K5" s="1503" t="s">
        <v>3107</v>
      </c>
      <c r="L5" s="1906" t="s">
        <v>9</v>
      </c>
      <c r="M5" s="1503" t="s">
        <v>1355</v>
      </c>
      <c r="N5" s="1906" t="s">
        <v>9</v>
      </c>
      <c r="O5" s="1503" t="s">
        <v>1355</v>
      </c>
      <c r="P5" s="1906" t="s">
        <v>9</v>
      </c>
      <c r="Q5" s="1503" t="s">
        <v>1355</v>
      </c>
      <c r="R5" s="1906" t="s">
        <v>9</v>
      </c>
      <c r="S5" s="1503" t="s">
        <v>1355</v>
      </c>
      <c r="T5" s="1906" t="s">
        <v>9</v>
      </c>
      <c r="U5" s="1503" t="s">
        <v>1355</v>
      </c>
      <c r="V5" s="2052"/>
      <c r="W5" s="2041"/>
      <c r="X5" s="2050"/>
    </row>
    <row r="6" spans="1:24" x14ac:dyDescent="0.25">
      <c r="A6" s="1504" t="s">
        <v>586</v>
      </c>
      <c r="B6" s="1448" t="s">
        <v>585</v>
      </c>
      <c r="C6" s="1448" t="s">
        <v>654</v>
      </c>
      <c r="D6" s="1448" t="s">
        <v>655</v>
      </c>
      <c r="E6" s="1505" t="s">
        <v>32</v>
      </c>
      <c r="F6" s="933">
        <v>6</v>
      </c>
      <c r="G6" s="1505">
        <v>7</v>
      </c>
      <c r="H6" s="1905" t="s">
        <v>3065</v>
      </c>
      <c r="I6" s="1269" t="s">
        <v>3066</v>
      </c>
      <c r="J6" s="1269" t="s">
        <v>3067</v>
      </c>
      <c r="K6" s="1506" t="s">
        <v>3068</v>
      </c>
      <c r="L6" s="1269" t="s">
        <v>3069</v>
      </c>
      <c r="M6" s="1506">
        <v>13</v>
      </c>
      <c r="N6" s="1269">
        <v>14</v>
      </c>
      <c r="O6" s="1506">
        <v>15</v>
      </c>
      <c r="P6" s="1269">
        <v>16</v>
      </c>
      <c r="Q6" s="1506">
        <v>17</v>
      </c>
      <c r="R6" s="1269">
        <v>18</v>
      </c>
      <c r="S6" s="1506">
        <v>19</v>
      </c>
      <c r="T6" s="1269">
        <v>20</v>
      </c>
      <c r="U6" s="1506">
        <v>21</v>
      </c>
      <c r="V6" s="1269">
        <v>22</v>
      </c>
      <c r="W6" s="1905">
        <v>23</v>
      </c>
      <c r="X6" s="1507">
        <v>24</v>
      </c>
    </row>
    <row r="7" spans="1:24" ht="102" x14ac:dyDescent="0.25">
      <c r="A7" s="2011" t="s">
        <v>120</v>
      </c>
      <c r="B7" s="2013" t="s">
        <v>34</v>
      </c>
      <c r="C7" s="2013" t="s">
        <v>3831</v>
      </c>
      <c r="D7" s="2013" t="s">
        <v>3836</v>
      </c>
      <c r="E7" s="173" t="s">
        <v>35</v>
      </c>
      <c r="F7" s="173" t="s">
        <v>3133</v>
      </c>
      <c r="G7" s="173" t="s">
        <v>35</v>
      </c>
      <c r="H7" s="1904" t="s">
        <v>19</v>
      </c>
      <c r="I7" s="173">
        <v>90</v>
      </c>
      <c r="J7" s="173">
        <v>91</v>
      </c>
      <c r="K7" s="1447"/>
      <c r="L7" s="173">
        <v>92</v>
      </c>
      <c r="M7" s="1447"/>
      <c r="N7" s="173">
        <v>93</v>
      </c>
      <c r="O7" s="1447"/>
      <c r="P7" s="173">
        <v>94</v>
      </c>
      <c r="Q7" s="1447"/>
      <c r="R7" s="173">
        <v>95</v>
      </c>
      <c r="S7" s="1447"/>
      <c r="T7" s="173">
        <v>96</v>
      </c>
      <c r="U7" s="1447"/>
      <c r="V7" s="173">
        <f>T7</f>
        <v>96</v>
      </c>
      <c r="W7" s="173"/>
      <c r="X7" s="1738" t="s">
        <v>4111</v>
      </c>
    </row>
    <row r="8" spans="1:24" ht="89.25" x14ac:dyDescent="0.25">
      <c r="A8" s="2012"/>
      <c r="B8" s="2014"/>
      <c r="C8" s="2014"/>
      <c r="D8" s="2014"/>
      <c r="E8" s="674"/>
      <c r="F8" s="1918" t="s">
        <v>36</v>
      </c>
      <c r="G8" s="173" t="s">
        <v>122</v>
      </c>
      <c r="H8" s="1904" t="s">
        <v>19</v>
      </c>
      <c r="I8" s="1143">
        <v>100</v>
      </c>
      <c r="J8" s="1898">
        <v>20</v>
      </c>
      <c r="K8" s="1143">
        <f>SUM(K9:K22)</f>
        <v>1244000</v>
      </c>
      <c r="L8" s="1143">
        <v>20</v>
      </c>
      <c r="M8" s="1143">
        <f>SUM(M9:M22)</f>
        <v>1702930</v>
      </c>
      <c r="N8" s="1900">
        <v>15</v>
      </c>
      <c r="O8" s="1143">
        <f>SUM(O9:O22)</f>
        <v>1711325</v>
      </c>
      <c r="P8" s="1143">
        <v>15</v>
      </c>
      <c r="Q8" s="1143">
        <f>SUM(Q9:Q22)</f>
        <v>1882457.5</v>
      </c>
      <c r="R8" s="1143">
        <v>15</v>
      </c>
      <c r="S8" s="1143">
        <f>SUM(S9:S22)</f>
        <v>2070703.25</v>
      </c>
      <c r="T8" s="1143">
        <v>15</v>
      </c>
      <c r="U8" s="1143">
        <f>SUM(U9:U22)</f>
        <v>2277772.9750000001</v>
      </c>
      <c r="V8" s="1447">
        <v>100</v>
      </c>
      <c r="W8" s="173"/>
      <c r="X8" s="1738" t="s">
        <v>4111</v>
      </c>
    </row>
    <row r="9" spans="1:24" ht="51" x14ac:dyDescent="0.25">
      <c r="A9" s="2012"/>
      <c r="B9" s="2014"/>
      <c r="C9" s="1902"/>
      <c r="D9" s="674"/>
      <c r="E9" s="674"/>
      <c r="F9" s="1918" t="s">
        <v>124</v>
      </c>
      <c r="G9" s="1918" t="s">
        <v>590</v>
      </c>
      <c r="H9" s="1904" t="s">
        <v>40</v>
      </c>
      <c r="I9" s="1143"/>
      <c r="J9" s="1898">
        <v>12</v>
      </c>
      <c r="K9" s="1900">
        <v>6000</v>
      </c>
      <c r="L9" s="161">
        <v>12</v>
      </c>
      <c r="M9" s="1143">
        <v>5250</v>
      </c>
      <c r="N9" s="1900">
        <v>12</v>
      </c>
      <c r="O9" s="1143">
        <v>5775</v>
      </c>
      <c r="P9" s="161">
        <v>12</v>
      </c>
      <c r="Q9" s="1143">
        <v>6352.5</v>
      </c>
      <c r="R9" s="161">
        <v>12</v>
      </c>
      <c r="S9" s="1143">
        <v>6987.75</v>
      </c>
      <c r="T9" s="161">
        <v>12</v>
      </c>
      <c r="U9" s="1143">
        <v>7686.5249999999996</v>
      </c>
      <c r="V9" s="1447"/>
      <c r="W9" s="173"/>
      <c r="X9" s="1738" t="s">
        <v>4111</v>
      </c>
    </row>
    <row r="10" spans="1:24" ht="102" x14ac:dyDescent="0.25">
      <c r="A10" s="2012"/>
      <c r="B10" s="1902"/>
      <c r="C10" s="1902"/>
      <c r="D10" s="674"/>
      <c r="E10" s="674"/>
      <c r="F10" s="1899" t="s">
        <v>126</v>
      </c>
      <c r="G10" s="1919" t="s">
        <v>592</v>
      </c>
      <c r="H10" s="1904" t="s">
        <v>40</v>
      </c>
      <c r="I10" s="1143"/>
      <c r="J10" s="1898">
        <v>12</v>
      </c>
      <c r="K10" s="1900">
        <v>250000</v>
      </c>
      <c r="L10" s="161">
        <v>12</v>
      </c>
      <c r="M10" s="1143">
        <v>400000</v>
      </c>
      <c r="N10" s="863">
        <v>12</v>
      </c>
      <c r="O10" s="1143">
        <v>440000</v>
      </c>
      <c r="P10" s="161">
        <v>12</v>
      </c>
      <c r="Q10" s="1143">
        <v>484000</v>
      </c>
      <c r="R10" s="161">
        <v>12</v>
      </c>
      <c r="S10" s="1143">
        <v>532400</v>
      </c>
      <c r="T10" s="161">
        <v>12</v>
      </c>
      <c r="U10" s="1143">
        <v>585640</v>
      </c>
      <c r="V10" s="1447"/>
      <c r="W10" s="173"/>
      <c r="X10" s="1738" t="s">
        <v>4111</v>
      </c>
    </row>
    <row r="11" spans="1:24" ht="114.75" x14ac:dyDescent="0.25">
      <c r="A11" s="2012"/>
      <c r="B11" s="1902"/>
      <c r="C11" s="1902"/>
      <c r="D11" s="674"/>
      <c r="E11" s="674"/>
      <c r="F11" s="1899" t="s">
        <v>43</v>
      </c>
      <c r="G11" s="1919" t="s">
        <v>594</v>
      </c>
      <c r="H11" s="1904" t="s">
        <v>40</v>
      </c>
      <c r="I11" s="1143"/>
      <c r="J11" s="1898">
        <v>12</v>
      </c>
      <c r="K11" s="1900">
        <v>225500</v>
      </c>
      <c r="L11" s="161">
        <v>12</v>
      </c>
      <c r="M11" s="1143">
        <v>226500</v>
      </c>
      <c r="N11" s="863">
        <v>12</v>
      </c>
      <c r="O11" s="1143">
        <v>249150</v>
      </c>
      <c r="P11" s="161">
        <v>12</v>
      </c>
      <c r="Q11" s="1143">
        <v>274065</v>
      </c>
      <c r="R11" s="161">
        <v>12</v>
      </c>
      <c r="S11" s="1143">
        <v>301471.5</v>
      </c>
      <c r="T11" s="161">
        <v>12</v>
      </c>
      <c r="U11" s="1143">
        <v>331618.65000000002</v>
      </c>
      <c r="V11" s="1447"/>
      <c r="W11" s="173"/>
      <c r="X11" s="1738" t="s">
        <v>4111</v>
      </c>
    </row>
    <row r="12" spans="1:24" ht="76.5" x14ac:dyDescent="0.25">
      <c r="A12" s="2012"/>
      <c r="B12" s="1902"/>
      <c r="C12" s="1902"/>
      <c r="D12" s="674"/>
      <c r="E12" s="674"/>
      <c r="F12" s="1899" t="s">
        <v>45</v>
      </c>
      <c r="G12" s="1919" t="s">
        <v>595</v>
      </c>
      <c r="H12" s="1904" t="s">
        <v>40</v>
      </c>
      <c r="I12" s="1143"/>
      <c r="J12" s="1898">
        <v>12</v>
      </c>
      <c r="K12" s="1900">
        <v>250000</v>
      </c>
      <c r="L12" s="1898">
        <v>12</v>
      </c>
      <c r="M12" s="1143">
        <v>350000</v>
      </c>
      <c r="N12" s="1900">
        <v>12</v>
      </c>
      <c r="O12" s="1143">
        <v>385000</v>
      </c>
      <c r="P12" s="1898">
        <v>12</v>
      </c>
      <c r="Q12" s="1143">
        <v>423500</v>
      </c>
      <c r="R12" s="1898">
        <v>12</v>
      </c>
      <c r="S12" s="1143">
        <v>465850</v>
      </c>
      <c r="T12" s="1898">
        <v>12</v>
      </c>
      <c r="U12" s="1143">
        <v>512435</v>
      </c>
      <c r="V12" s="1447"/>
      <c r="W12" s="173"/>
      <c r="X12" s="1738" t="s">
        <v>4111</v>
      </c>
    </row>
    <row r="13" spans="1:24" s="1909" customFormat="1" ht="76.5" x14ac:dyDescent="0.25">
      <c r="A13" s="2012"/>
      <c r="B13" s="1903"/>
      <c r="C13" s="1903"/>
      <c r="D13" s="675"/>
      <c r="E13" s="675"/>
      <c r="F13" s="1899" t="s">
        <v>47</v>
      </c>
      <c r="G13" s="1919" t="s">
        <v>596</v>
      </c>
      <c r="H13" s="1904" t="s">
        <v>40</v>
      </c>
      <c r="I13" s="1143"/>
      <c r="J13" s="1898">
        <v>12</v>
      </c>
      <c r="K13" s="1900">
        <v>11000</v>
      </c>
      <c r="L13" s="161">
        <v>12</v>
      </c>
      <c r="M13" s="1143">
        <v>15000</v>
      </c>
      <c r="N13" s="863">
        <v>12</v>
      </c>
      <c r="O13" s="1143">
        <v>16500</v>
      </c>
      <c r="P13" s="161">
        <v>12</v>
      </c>
      <c r="Q13" s="1143">
        <v>18150</v>
      </c>
      <c r="R13" s="161">
        <v>12</v>
      </c>
      <c r="S13" s="1143">
        <v>19965</v>
      </c>
      <c r="T13" s="161">
        <v>12</v>
      </c>
      <c r="U13" s="1143">
        <v>21961.5</v>
      </c>
      <c r="V13" s="1447"/>
      <c r="W13" s="173"/>
      <c r="X13" s="1738" t="s">
        <v>4111</v>
      </c>
    </row>
    <row r="14" spans="1:24" ht="76.5" x14ac:dyDescent="0.25">
      <c r="A14" s="2012"/>
      <c r="B14" s="1902"/>
      <c r="C14" s="1902"/>
      <c r="D14" s="674"/>
      <c r="E14" s="674"/>
      <c r="F14" s="1903" t="s">
        <v>130</v>
      </c>
      <c r="G14" s="1920" t="s">
        <v>598</v>
      </c>
      <c r="H14" s="1907" t="s">
        <v>40</v>
      </c>
      <c r="I14" s="859"/>
      <c r="J14" s="1729">
        <v>12</v>
      </c>
      <c r="K14" s="1630">
        <v>50000</v>
      </c>
      <c r="L14" s="1777">
        <v>12</v>
      </c>
      <c r="M14" s="859">
        <v>78000</v>
      </c>
      <c r="N14" s="1908">
        <v>12</v>
      </c>
      <c r="O14" s="859">
        <v>85800</v>
      </c>
      <c r="P14" s="1777">
        <v>12</v>
      </c>
      <c r="Q14" s="859">
        <v>94380</v>
      </c>
      <c r="R14" s="1777">
        <v>12</v>
      </c>
      <c r="S14" s="859">
        <v>103818</v>
      </c>
      <c r="T14" s="1777">
        <v>12</v>
      </c>
      <c r="U14" s="859">
        <v>114199.8</v>
      </c>
      <c r="V14" s="1766"/>
      <c r="W14" s="675"/>
      <c r="X14" s="1738" t="s">
        <v>4111</v>
      </c>
    </row>
    <row r="15" spans="1:24" ht="51" x14ac:dyDescent="0.25">
      <c r="A15" s="2012"/>
      <c r="B15" s="1902"/>
      <c r="C15" s="1902"/>
      <c r="D15" s="674"/>
      <c r="E15" s="674"/>
      <c r="F15" s="1899" t="s">
        <v>50</v>
      </c>
      <c r="G15" s="1919" t="s">
        <v>580</v>
      </c>
      <c r="H15" s="1904" t="s">
        <v>40</v>
      </c>
      <c r="I15" s="1143"/>
      <c r="J15" s="1898">
        <v>12</v>
      </c>
      <c r="K15" s="1900">
        <v>82500</v>
      </c>
      <c r="L15" s="161">
        <v>12</v>
      </c>
      <c r="M15" s="1143">
        <v>75000</v>
      </c>
      <c r="N15" s="863">
        <v>12</v>
      </c>
      <c r="O15" s="1143">
        <v>82500</v>
      </c>
      <c r="P15" s="161">
        <v>12</v>
      </c>
      <c r="Q15" s="1143">
        <v>90750</v>
      </c>
      <c r="R15" s="161">
        <v>12</v>
      </c>
      <c r="S15" s="1143">
        <v>99825</v>
      </c>
      <c r="T15" s="161">
        <v>12</v>
      </c>
      <c r="U15" s="1143">
        <v>109807.5</v>
      </c>
      <c r="V15" s="1447"/>
      <c r="W15" s="173"/>
      <c r="X15" s="1738" t="s">
        <v>4111</v>
      </c>
    </row>
    <row r="16" spans="1:24" ht="89.25" x14ac:dyDescent="0.25">
      <c r="A16" s="2012"/>
      <c r="B16" s="1902"/>
      <c r="C16" s="1902"/>
      <c r="D16" s="674"/>
      <c r="E16" s="674"/>
      <c r="F16" s="1899" t="s">
        <v>52</v>
      </c>
      <c r="G16" s="1919" t="s">
        <v>600</v>
      </c>
      <c r="H16" s="1904" t="s">
        <v>40</v>
      </c>
      <c r="I16" s="1143"/>
      <c r="J16" s="1898">
        <v>12</v>
      </c>
      <c r="K16" s="1900">
        <v>82500</v>
      </c>
      <c r="L16" s="161">
        <v>12</v>
      </c>
      <c r="M16" s="1143">
        <v>75000</v>
      </c>
      <c r="N16" s="863">
        <v>12</v>
      </c>
      <c r="O16" s="1143">
        <v>82500</v>
      </c>
      <c r="P16" s="161">
        <v>12</v>
      </c>
      <c r="Q16" s="1143">
        <v>90750</v>
      </c>
      <c r="R16" s="161">
        <v>12</v>
      </c>
      <c r="S16" s="1143">
        <v>99825</v>
      </c>
      <c r="T16" s="161">
        <v>12</v>
      </c>
      <c r="U16" s="1143">
        <v>109807.5</v>
      </c>
      <c r="V16" s="1447"/>
      <c r="W16" s="173"/>
      <c r="X16" s="1738" t="s">
        <v>4111</v>
      </c>
    </row>
    <row r="17" spans="1:24" ht="114.75" x14ac:dyDescent="0.25">
      <c r="A17" s="2012"/>
      <c r="B17" s="1902"/>
      <c r="C17" s="1902"/>
      <c r="D17" s="674"/>
      <c r="E17" s="674"/>
      <c r="F17" s="1899" t="s">
        <v>54</v>
      </c>
      <c r="G17" s="1919" t="s">
        <v>602</v>
      </c>
      <c r="H17" s="1904" t="s">
        <v>40</v>
      </c>
      <c r="I17" s="1143"/>
      <c r="J17" s="1898">
        <v>12</v>
      </c>
      <c r="K17" s="1900">
        <v>16500</v>
      </c>
      <c r="L17" s="161">
        <v>12</v>
      </c>
      <c r="M17" s="1143">
        <v>15000</v>
      </c>
      <c r="N17" s="1900">
        <v>12</v>
      </c>
      <c r="O17" s="1143">
        <v>16500</v>
      </c>
      <c r="P17" s="161">
        <v>12</v>
      </c>
      <c r="Q17" s="1143">
        <v>18150</v>
      </c>
      <c r="R17" s="161">
        <v>12</v>
      </c>
      <c r="S17" s="1143">
        <v>19965</v>
      </c>
      <c r="T17" s="161">
        <v>12</v>
      </c>
      <c r="U17" s="1143">
        <v>21961.5</v>
      </c>
      <c r="V17" s="1447"/>
      <c r="W17" s="173"/>
      <c r="X17" s="1738" t="s">
        <v>4111</v>
      </c>
    </row>
    <row r="18" spans="1:24" ht="127.5" x14ac:dyDescent="0.25">
      <c r="A18" s="2012"/>
      <c r="B18" s="1902"/>
      <c r="C18" s="1902"/>
      <c r="D18" s="674"/>
      <c r="E18" s="674"/>
      <c r="F18" s="1899" t="s">
        <v>56</v>
      </c>
      <c r="G18" s="1919" t="s">
        <v>603</v>
      </c>
      <c r="H18" s="1904" t="s">
        <v>40</v>
      </c>
      <c r="I18" s="1143"/>
      <c r="J18" s="1898">
        <v>12</v>
      </c>
      <c r="K18" s="1900">
        <v>20000</v>
      </c>
      <c r="L18" s="161">
        <v>12</v>
      </c>
      <c r="M18" s="1143">
        <v>15000</v>
      </c>
      <c r="N18" s="863">
        <v>12</v>
      </c>
      <c r="O18" s="1143">
        <v>16500</v>
      </c>
      <c r="P18" s="161">
        <v>12</v>
      </c>
      <c r="Q18" s="1143">
        <v>18150</v>
      </c>
      <c r="R18" s="161">
        <v>12</v>
      </c>
      <c r="S18" s="1143">
        <v>19965</v>
      </c>
      <c r="T18" s="161">
        <v>12</v>
      </c>
      <c r="U18" s="1143">
        <v>21961.5</v>
      </c>
      <c r="V18" s="1447"/>
      <c r="W18" s="173"/>
      <c r="X18" s="1738" t="s">
        <v>4111</v>
      </c>
    </row>
    <row r="19" spans="1:24" s="1909" customFormat="1" ht="63.75" x14ac:dyDescent="0.25">
      <c r="A19" s="2012"/>
      <c r="B19" s="1903"/>
      <c r="C19" s="1903"/>
      <c r="D19" s="675"/>
      <c r="E19" s="675"/>
      <c r="F19" s="1899" t="s">
        <v>58</v>
      </c>
      <c r="G19" s="1919" t="s">
        <v>605</v>
      </c>
      <c r="H19" s="1904" t="s">
        <v>40</v>
      </c>
      <c r="I19" s="1143"/>
      <c r="J19" s="1898">
        <v>12</v>
      </c>
      <c r="K19" s="1900">
        <v>110000</v>
      </c>
      <c r="L19" s="161">
        <v>12</v>
      </c>
      <c r="M19" s="1143">
        <v>120000</v>
      </c>
      <c r="N19" s="863">
        <v>12</v>
      </c>
      <c r="O19" s="1143">
        <v>132000</v>
      </c>
      <c r="P19" s="161">
        <v>12</v>
      </c>
      <c r="Q19" s="1143">
        <v>145200</v>
      </c>
      <c r="R19" s="161">
        <v>12</v>
      </c>
      <c r="S19" s="1143">
        <v>159720</v>
      </c>
      <c r="T19" s="161">
        <v>12</v>
      </c>
      <c r="U19" s="1143">
        <v>175692</v>
      </c>
      <c r="V19" s="1447"/>
      <c r="W19" s="173"/>
      <c r="X19" s="1738" t="s">
        <v>4111</v>
      </c>
    </row>
    <row r="20" spans="1:24" s="1931" customFormat="1" ht="76.5" x14ac:dyDescent="0.25">
      <c r="A20" s="2012"/>
      <c r="B20" s="1928"/>
      <c r="C20" s="1928"/>
      <c r="D20" s="674"/>
      <c r="E20" s="674"/>
      <c r="F20" s="1929" t="s">
        <v>62</v>
      </c>
      <c r="G20" s="1929" t="s">
        <v>4112</v>
      </c>
      <c r="H20" s="1930" t="s">
        <v>40</v>
      </c>
      <c r="I20" s="859"/>
      <c r="J20" s="1729"/>
      <c r="K20" s="1630"/>
      <c r="L20" s="1777">
        <v>12</v>
      </c>
      <c r="M20" s="859">
        <v>163180</v>
      </c>
      <c r="N20" s="1908">
        <v>12</v>
      </c>
      <c r="O20" s="859">
        <v>17600</v>
      </c>
      <c r="P20" s="1777">
        <v>12</v>
      </c>
      <c r="Q20" s="859">
        <v>19360</v>
      </c>
      <c r="R20" s="1777">
        <v>12</v>
      </c>
      <c r="S20" s="859">
        <v>21296</v>
      </c>
      <c r="T20" s="1777">
        <v>12</v>
      </c>
      <c r="U20" s="859">
        <v>23425</v>
      </c>
      <c r="V20" s="1766"/>
      <c r="W20" s="675"/>
      <c r="X20" s="1738"/>
    </row>
    <row r="21" spans="1:24" ht="89.25" x14ac:dyDescent="0.25">
      <c r="A21" s="2012"/>
      <c r="B21" s="1902"/>
      <c r="C21" s="1902"/>
      <c r="D21" s="674"/>
      <c r="E21" s="674"/>
      <c r="F21" s="1903" t="s">
        <v>137</v>
      </c>
      <c r="G21" s="1920" t="s">
        <v>607</v>
      </c>
      <c r="H21" s="1907" t="s">
        <v>40</v>
      </c>
      <c r="I21" s="859"/>
      <c r="J21" s="1729">
        <v>12</v>
      </c>
      <c r="K21" s="1630">
        <v>125000</v>
      </c>
      <c r="L21" s="1777">
        <v>12</v>
      </c>
      <c r="M21" s="859">
        <v>150000</v>
      </c>
      <c r="N21" s="1630">
        <v>12</v>
      </c>
      <c r="O21" s="859">
        <v>165000</v>
      </c>
      <c r="P21" s="1777">
        <v>12</v>
      </c>
      <c r="Q21" s="859">
        <v>181500</v>
      </c>
      <c r="R21" s="1777">
        <v>12</v>
      </c>
      <c r="S21" s="859">
        <v>199650</v>
      </c>
      <c r="T21" s="1777">
        <v>12</v>
      </c>
      <c r="U21" s="859">
        <v>219615</v>
      </c>
      <c r="V21" s="1766"/>
      <c r="W21" s="675"/>
      <c r="X21" s="1738" t="s">
        <v>4111</v>
      </c>
    </row>
    <row r="22" spans="1:24" ht="102" x14ac:dyDescent="0.25">
      <c r="A22" s="2012"/>
      <c r="B22" s="1902"/>
      <c r="C22" s="1902"/>
      <c r="D22" s="674"/>
      <c r="E22" s="674"/>
      <c r="F22" s="1899" t="s">
        <v>139</v>
      </c>
      <c r="G22" s="1919" t="s">
        <v>609</v>
      </c>
      <c r="H22" s="1904" t="s">
        <v>40</v>
      </c>
      <c r="I22" s="1143"/>
      <c r="J22" s="1898">
        <v>12</v>
      </c>
      <c r="K22" s="1900">
        <v>15000</v>
      </c>
      <c r="L22" s="161">
        <v>12</v>
      </c>
      <c r="M22" s="1143">
        <v>15000</v>
      </c>
      <c r="N22" s="863">
        <v>12</v>
      </c>
      <c r="O22" s="1143">
        <v>16500</v>
      </c>
      <c r="P22" s="161">
        <v>12</v>
      </c>
      <c r="Q22" s="1143">
        <v>18150</v>
      </c>
      <c r="R22" s="161">
        <v>12</v>
      </c>
      <c r="S22" s="1143">
        <v>19965</v>
      </c>
      <c r="T22" s="161">
        <v>12</v>
      </c>
      <c r="U22" s="1143">
        <v>21961.5</v>
      </c>
      <c r="V22" s="1447"/>
      <c r="W22" s="173"/>
      <c r="X22" s="1738" t="s">
        <v>4111</v>
      </c>
    </row>
    <row r="23" spans="1:24" ht="102" x14ac:dyDescent="0.25">
      <c r="A23" s="2012"/>
      <c r="B23" s="1902"/>
      <c r="C23" s="1902"/>
      <c r="D23" s="674"/>
      <c r="E23" s="674"/>
      <c r="F23" s="1918" t="s">
        <v>65</v>
      </c>
      <c r="G23" s="173" t="s">
        <v>656</v>
      </c>
      <c r="H23" s="1904" t="s">
        <v>19</v>
      </c>
      <c r="I23" s="1143">
        <v>100</v>
      </c>
      <c r="J23" s="1898">
        <v>28</v>
      </c>
      <c r="K23" s="1143">
        <f>SUM(K24:K48)</f>
        <v>4378500</v>
      </c>
      <c r="L23" s="1715">
        <v>52</v>
      </c>
      <c r="M23" s="1143">
        <f>SUM(M24:M48)</f>
        <v>4484000</v>
      </c>
      <c r="N23" s="1900">
        <v>5</v>
      </c>
      <c r="O23" s="1143">
        <f>SUM(O24:O48)</f>
        <v>1150000</v>
      </c>
      <c r="P23" s="1143">
        <v>5</v>
      </c>
      <c r="Q23" s="1143">
        <f>SUM(Q24:Q48)</f>
        <v>989000</v>
      </c>
      <c r="R23" s="1143">
        <v>5</v>
      </c>
      <c r="S23" s="1143">
        <f>SUM(S24:S48)</f>
        <v>1031900</v>
      </c>
      <c r="T23" s="1143">
        <v>5</v>
      </c>
      <c r="U23" s="1143">
        <f>SUM(U24:U48)</f>
        <v>1079090</v>
      </c>
      <c r="V23" s="1447">
        <f>J23+L23+N23+P23+R23+T23</f>
        <v>100</v>
      </c>
      <c r="W23" s="173"/>
      <c r="X23" s="1738" t="s">
        <v>4111</v>
      </c>
    </row>
    <row r="24" spans="1:24" ht="76.5" x14ac:dyDescent="0.25">
      <c r="A24" s="2012"/>
      <c r="B24" s="1902"/>
      <c r="C24" s="1902"/>
      <c r="D24" s="674"/>
      <c r="E24" s="674"/>
      <c r="F24" s="1899" t="s">
        <v>142</v>
      </c>
      <c r="G24" s="1921" t="s">
        <v>657</v>
      </c>
      <c r="H24" s="1904" t="s">
        <v>75</v>
      </c>
      <c r="I24" s="1143"/>
      <c r="J24" s="1898">
        <v>14</v>
      </c>
      <c r="K24" s="1900">
        <v>3274000</v>
      </c>
      <c r="L24" s="1143">
        <v>38</v>
      </c>
      <c r="M24" s="1143">
        <v>3364000</v>
      </c>
      <c r="N24" s="1900">
        <v>5</v>
      </c>
      <c r="O24" s="1143">
        <v>260000</v>
      </c>
      <c r="P24" s="1143">
        <v>4</v>
      </c>
      <c r="Q24" s="1143">
        <v>60000</v>
      </c>
      <c r="R24" s="1143">
        <v>4</v>
      </c>
      <c r="S24" s="1143">
        <v>60000</v>
      </c>
      <c r="T24" s="1143">
        <v>4</v>
      </c>
      <c r="U24" s="1143">
        <v>60000</v>
      </c>
      <c r="V24" s="1447"/>
      <c r="W24" s="173"/>
      <c r="X24" s="1738" t="s">
        <v>4111</v>
      </c>
    </row>
    <row r="25" spans="1:24" ht="76.5" x14ac:dyDescent="0.25">
      <c r="A25" s="2012"/>
      <c r="B25" s="1902"/>
      <c r="C25" s="1902"/>
      <c r="D25" s="674"/>
      <c r="E25" s="674"/>
      <c r="F25" s="673" t="s">
        <v>144</v>
      </c>
      <c r="G25" s="1921" t="s">
        <v>658</v>
      </c>
      <c r="H25" s="1904" t="s">
        <v>69</v>
      </c>
      <c r="I25" s="1143"/>
      <c r="J25" s="1898">
        <v>3</v>
      </c>
      <c r="K25" s="1900">
        <v>505000</v>
      </c>
      <c r="L25" s="1143">
        <v>2</v>
      </c>
      <c r="M25" s="1143">
        <v>400000</v>
      </c>
      <c r="N25" s="1900">
        <v>2</v>
      </c>
      <c r="O25" s="1143">
        <v>150000</v>
      </c>
      <c r="P25" s="1143">
        <v>2</v>
      </c>
      <c r="Q25" s="1143">
        <v>165000</v>
      </c>
      <c r="R25" s="161">
        <v>3</v>
      </c>
      <c r="S25" s="1143">
        <v>181500</v>
      </c>
      <c r="T25" s="161">
        <v>3</v>
      </c>
      <c r="U25" s="1143">
        <v>199650</v>
      </c>
      <c r="V25" s="1447"/>
      <c r="W25" s="1143"/>
      <c r="X25" s="1738" t="s">
        <v>4111</v>
      </c>
    </row>
    <row r="26" spans="1:24" x14ac:dyDescent="0.25">
      <c r="A26" s="2012"/>
      <c r="B26" s="1902"/>
      <c r="C26" s="1902"/>
      <c r="D26" s="674"/>
      <c r="E26" s="674"/>
      <c r="F26" s="674"/>
      <c r="G26" s="1899" t="s">
        <v>659</v>
      </c>
      <c r="H26" s="1904" t="s">
        <v>660</v>
      </c>
      <c r="I26" s="1143"/>
      <c r="J26" s="1898">
        <v>324</v>
      </c>
      <c r="K26" s="1900">
        <v>0</v>
      </c>
      <c r="L26" s="1143"/>
      <c r="M26" s="1143">
        <v>0</v>
      </c>
      <c r="N26" s="1900"/>
      <c r="O26" s="1143">
        <v>0</v>
      </c>
      <c r="P26" s="1143"/>
      <c r="Q26" s="1143">
        <v>0</v>
      </c>
      <c r="R26" s="161"/>
      <c r="S26" s="1143">
        <v>0</v>
      </c>
      <c r="T26" s="161"/>
      <c r="U26" s="1143">
        <v>0</v>
      </c>
      <c r="V26" s="1447"/>
      <c r="W26" s="1143"/>
      <c r="X26" s="1738" t="s">
        <v>4111</v>
      </c>
    </row>
    <row r="27" spans="1:24" x14ac:dyDescent="0.25">
      <c r="A27" s="2012"/>
      <c r="B27" s="1902"/>
      <c r="C27" s="1902"/>
      <c r="D27" s="674"/>
      <c r="E27" s="674"/>
      <c r="F27" s="674"/>
      <c r="G27" s="1899" t="s">
        <v>661</v>
      </c>
      <c r="H27" s="1904" t="s">
        <v>75</v>
      </c>
      <c r="I27" s="1143"/>
      <c r="J27" s="1898">
        <v>2</v>
      </c>
      <c r="K27" s="1900">
        <v>0</v>
      </c>
      <c r="L27" s="1143">
        <v>3</v>
      </c>
      <c r="M27" s="1143">
        <v>0</v>
      </c>
      <c r="N27" s="1900">
        <v>2</v>
      </c>
      <c r="O27" s="1143">
        <v>0</v>
      </c>
      <c r="P27" s="1143">
        <v>1</v>
      </c>
      <c r="Q27" s="1143">
        <v>0</v>
      </c>
      <c r="R27" s="161">
        <v>2</v>
      </c>
      <c r="S27" s="1143">
        <v>0</v>
      </c>
      <c r="T27" s="161">
        <v>2</v>
      </c>
      <c r="U27" s="1143">
        <v>0</v>
      </c>
      <c r="V27" s="1447"/>
      <c r="W27" s="1143"/>
      <c r="X27" s="1738" t="s">
        <v>4111</v>
      </c>
    </row>
    <row r="28" spans="1:24" ht="25.5" x14ac:dyDescent="0.25">
      <c r="A28" s="2012"/>
      <c r="B28" s="1902"/>
      <c r="C28" s="1902"/>
      <c r="D28" s="674"/>
      <c r="E28" s="674"/>
      <c r="F28" s="674"/>
      <c r="G28" s="1899" t="s">
        <v>662</v>
      </c>
      <c r="H28" s="1904" t="s">
        <v>663</v>
      </c>
      <c r="I28" s="1143"/>
      <c r="J28" s="1898"/>
      <c r="K28" s="1900">
        <v>0</v>
      </c>
      <c r="L28" s="1143"/>
      <c r="M28" s="1143">
        <v>0</v>
      </c>
      <c r="N28" s="1900"/>
      <c r="O28" s="1143">
        <v>0</v>
      </c>
      <c r="P28" s="1143">
        <v>1</v>
      </c>
      <c r="Q28" s="1143">
        <v>0</v>
      </c>
      <c r="R28" s="161"/>
      <c r="S28" s="1143">
        <v>0</v>
      </c>
      <c r="T28" s="161"/>
      <c r="U28" s="1143">
        <v>0</v>
      </c>
      <c r="V28" s="1447"/>
      <c r="W28" s="1143"/>
      <c r="X28" s="1738" t="s">
        <v>4111</v>
      </c>
    </row>
    <row r="29" spans="1:24" x14ac:dyDescent="0.25">
      <c r="A29" s="2012"/>
      <c r="B29" s="1902"/>
      <c r="C29" s="1902"/>
      <c r="D29" s="674"/>
      <c r="E29" s="674"/>
      <c r="F29" s="674"/>
      <c r="G29" s="1899" t="s">
        <v>664</v>
      </c>
      <c r="H29" s="1904" t="s">
        <v>75</v>
      </c>
      <c r="I29" s="1143"/>
      <c r="J29" s="1898"/>
      <c r="K29" s="1900">
        <v>0</v>
      </c>
      <c r="L29" s="1143">
        <v>1</v>
      </c>
      <c r="M29" s="1143">
        <v>0</v>
      </c>
      <c r="N29" s="1900"/>
      <c r="O29" s="1143">
        <v>0</v>
      </c>
      <c r="P29" s="1143"/>
      <c r="Q29" s="1143">
        <v>0</v>
      </c>
      <c r="R29" s="161"/>
      <c r="S29" s="1143">
        <v>0</v>
      </c>
      <c r="T29" s="161"/>
      <c r="U29" s="1143">
        <v>0</v>
      </c>
      <c r="V29" s="1447"/>
      <c r="W29" s="1143"/>
      <c r="X29" s="1738" t="s">
        <v>4111</v>
      </c>
    </row>
    <row r="30" spans="1:24" ht="38.25" x14ac:dyDescent="0.25">
      <c r="A30" s="2012"/>
      <c r="B30" s="1902"/>
      <c r="C30" s="1902"/>
      <c r="D30" s="674"/>
      <c r="E30" s="674"/>
      <c r="F30" s="675"/>
      <c r="G30" s="1899" t="s">
        <v>665</v>
      </c>
      <c r="H30" s="1904" t="s">
        <v>69</v>
      </c>
      <c r="I30" s="1143"/>
      <c r="J30" s="1898">
        <v>1</v>
      </c>
      <c r="K30" s="1900">
        <v>0</v>
      </c>
      <c r="L30" s="1143"/>
      <c r="M30" s="1143">
        <v>0</v>
      </c>
      <c r="N30" s="1900">
        <v>1</v>
      </c>
      <c r="O30" s="1143">
        <v>0</v>
      </c>
      <c r="P30" s="1143"/>
      <c r="Q30" s="1143">
        <v>0</v>
      </c>
      <c r="R30" s="161">
        <v>1</v>
      </c>
      <c r="S30" s="1143">
        <v>0</v>
      </c>
      <c r="T30" s="161">
        <v>1</v>
      </c>
      <c r="U30" s="1143">
        <v>0</v>
      </c>
      <c r="V30" s="1447"/>
      <c r="W30" s="1143"/>
      <c r="X30" s="1738" t="s">
        <v>4111</v>
      </c>
    </row>
    <row r="31" spans="1:24" ht="76.5" x14ac:dyDescent="0.25">
      <c r="A31" s="2012"/>
      <c r="B31" s="1902"/>
      <c r="C31" s="1902"/>
      <c r="D31" s="674"/>
      <c r="E31" s="674"/>
      <c r="F31" s="673" t="s">
        <v>149</v>
      </c>
      <c r="G31" s="1921" t="s">
        <v>666</v>
      </c>
      <c r="H31" s="1904" t="s">
        <v>69</v>
      </c>
      <c r="I31" s="1143"/>
      <c r="J31" s="1898"/>
      <c r="K31" s="857">
        <v>379000</v>
      </c>
      <c r="L31" s="1143"/>
      <c r="M31" s="857">
        <v>400000</v>
      </c>
      <c r="N31" s="1900"/>
      <c r="O31" s="857">
        <v>400000</v>
      </c>
      <c r="P31" s="1143"/>
      <c r="Q31" s="857">
        <v>400000</v>
      </c>
      <c r="R31" s="1143"/>
      <c r="S31" s="857">
        <v>400000</v>
      </c>
      <c r="T31" s="1143"/>
      <c r="U31" s="857">
        <v>400000</v>
      </c>
      <c r="V31" s="1447"/>
      <c r="W31" s="173"/>
      <c r="X31" s="1738" t="s">
        <v>4111</v>
      </c>
    </row>
    <row r="32" spans="1:24" s="1909" customFormat="1" x14ac:dyDescent="0.25">
      <c r="A32" s="2012"/>
      <c r="B32" s="1903"/>
      <c r="C32" s="1903"/>
      <c r="D32" s="675"/>
      <c r="E32" s="675"/>
      <c r="F32" s="675"/>
      <c r="G32" s="1899" t="s">
        <v>667</v>
      </c>
      <c r="H32" s="1904" t="s">
        <v>75</v>
      </c>
      <c r="I32" s="1143"/>
      <c r="J32" s="1898">
        <v>0</v>
      </c>
      <c r="K32" s="859">
        <v>0</v>
      </c>
      <c r="L32" s="1143">
        <v>0</v>
      </c>
      <c r="M32" s="859">
        <v>0</v>
      </c>
      <c r="N32" s="1900">
        <v>0</v>
      </c>
      <c r="O32" s="859">
        <v>0</v>
      </c>
      <c r="P32" s="1143">
        <v>4</v>
      </c>
      <c r="Q32" s="859">
        <v>0</v>
      </c>
      <c r="R32" s="1143">
        <v>0</v>
      </c>
      <c r="S32" s="859">
        <v>0</v>
      </c>
      <c r="T32" s="1143">
        <v>0</v>
      </c>
      <c r="U32" s="859">
        <v>0</v>
      </c>
      <c r="V32" s="1447"/>
      <c r="W32" s="173"/>
      <c r="X32" s="1738" t="s">
        <v>4111</v>
      </c>
    </row>
    <row r="33" spans="1:24" x14ac:dyDescent="0.25">
      <c r="A33" s="2012"/>
      <c r="B33" s="1902"/>
      <c r="C33" s="1902"/>
      <c r="D33" s="674"/>
      <c r="E33" s="674"/>
      <c r="F33" s="674"/>
      <c r="G33" s="1903" t="s">
        <v>668</v>
      </c>
      <c r="H33" s="1907" t="s">
        <v>75</v>
      </c>
      <c r="I33" s="859"/>
      <c r="J33" s="1729">
        <v>10</v>
      </c>
      <c r="K33" s="858">
        <v>0</v>
      </c>
      <c r="L33" s="859">
        <v>15</v>
      </c>
      <c r="M33" s="858">
        <v>0</v>
      </c>
      <c r="N33" s="1630">
        <v>0</v>
      </c>
      <c r="O33" s="858">
        <v>0</v>
      </c>
      <c r="P33" s="859">
        <v>10</v>
      </c>
      <c r="Q33" s="858">
        <v>0</v>
      </c>
      <c r="R33" s="859">
        <v>15</v>
      </c>
      <c r="S33" s="858">
        <v>0</v>
      </c>
      <c r="T33" s="859">
        <v>15</v>
      </c>
      <c r="U33" s="858">
        <v>0</v>
      </c>
      <c r="V33" s="1766"/>
      <c r="W33" s="675"/>
      <c r="X33" s="1738" t="s">
        <v>4111</v>
      </c>
    </row>
    <row r="34" spans="1:24" x14ac:dyDescent="0.25">
      <c r="A34" s="2012"/>
      <c r="B34" s="1902"/>
      <c r="C34" s="1902"/>
      <c r="D34" s="674"/>
      <c r="E34" s="674"/>
      <c r="F34" s="674"/>
      <c r="G34" s="1899" t="s">
        <v>669</v>
      </c>
      <c r="H34" s="1904" t="s">
        <v>75</v>
      </c>
      <c r="I34" s="1143"/>
      <c r="J34" s="1898">
        <v>4</v>
      </c>
      <c r="K34" s="858">
        <v>0</v>
      </c>
      <c r="L34" s="1143">
        <v>4</v>
      </c>
      <c r="M34" s="858">
        <v>0</v>
      </c>
      <c r="N34" s="1900">
        <v>2</v>
      </c>
      <c r="O34" s="858">
        <v>0</v>
      </c>
      <c r="P34" s="1143">
        <v>15</v>
      </c>
      <c r="Q34" s="858">
        <v>0</v>
      </c>
      <c r="R34" s="1143">
        <v>15</v>
      </c>
      <c r="S34" s="858">
        <v>0</v>
      </c>
      <c r="T34" s="1143">
        <v>15</v>
      </c>
      <c r="U34" s="858">
        <v>0</v>
      </c>
      <c r="V34" s="1447"/>
      <c r="W34" s="173"/>
      <c r="X34" s="1738" t="s">
        <v>4111</v>
      </c>
    </row>
    <row r="35" spans="1:24" x14ac:dyDescent="0.25">
      <c r="A35" s="2012"/>
      <c r="B35" s="1902"/>
      <c r="C35" s="1902"/>
      <c r="D35" s="674"/>
      <c r="E35" s="674"/>
      <c r="F35" s="674"/>
      <c r="G35" s="1899" t="s">
        <v>670</v>
      </c>
      <c r="H35" s="1904" t="s">
        <v>75</v>
      </c>
      <c r="I35" s="1143"/>
      <c r="J35" s="1898">
        <v>1</v>
      </c>
      <c r="K35" s="858">
        <v>0</v>
      </c>
      <c r="L35" s="1143">
        <v>2</v>
      </c>
      <c r="M35" s="858">
        <v>0</v>
      </c>
      <c r="N35" s="1900">
        <v>0</v>
      </c>
      <c r="O35" s="858">
        <v>0</v>
      </c>
      <c r="P35" s="1143">
        <v>2</v>
      </c>
      <c r="Q35" s="858">
        <v>0</v>
      </c>
      <c r="R35" s="1143">
        <v>2</v>
      </c>
      <c r="S35" s="858">
        <v>0</v>
      </c>
      <c r="T35" s="1143">
        <v>2</v>
      </c>
      <c r="U35" s="858">
        <v>0</v>
      </c>
      <c r="V35" s="1447"/>
      <c r="W35" s="173"/>
      <c r="X35" s="1738" t="s">
        <v>4111</v>
      </c>
    </row>
    <row r="36" spans="1:24" ht="25.5" x14ac:dyDescent="0.25">
      <c r="A36" s="2012"/>
      <c r="B36" s="1902"/>
      <c r="C36" s="1902"/>
      <c r="D36" s="674"/>
      <c r="E36" s="674"/>
      <c r="F36" s="674"/>
      <c r="G36" s="1899" t="s">
        <v>671</v>
      </c>
      <c r="H36" s="1904" t="s">
        <v>75</v>
      </c>
      <c r="I36" s="1143"/>
      <c r="J36" s="1898">
        <v>1</v>
      </c>
      <c r="K36" s="858">
        <v>0</v>
      </c>
      <c r="L36" s="1143">
        <v>0</v>
      </c>
      <c r="M36" s="858">
        <v>0</v>
      </c>
      <c r="N36" s="1900">
        <v>0</v>
      </c>
      <c r="O36" s="858">
        <v>0</v>
      </c>
      <c r="P36" s="1143">
        <v>0</v>
      </c>
      <c r="Q36" s="858">
        <v>0</v>
      </c>
      <c r="R36" s="1143">
        <v>0</v>
      </c>
      <c r="S36" s="858">
        <v>0</v>
      </c>
      <c r="T36" s="1143">
        <v>0</v>
      </c>
      <c r="U36" s="858">
        <v>0</v>
      </c>
      <c r="V36" s="1447"/>
      <c r="W36" s="173"/>
      <c r="X36" s="1738" t="s">
        <v>4111</v>
      </c>
    </row>
    <row r="37" spans="1:24" x14ac:dyDescent="0.25">
      <c r="A37" s="2012"/>
      <c r="B37" s="1902"/>
      <c r="C37" s="1902"/>
      <c r="D37" s="674"/>
      <c r="E37" s="674"/>
      <c r="F37" s="674"/>
      <c r="G37" s="1899" t="s">
        <v>672</v>
      </c>
      <c r="H37" s="1904" t="s">
        <v>75</v>
      </c>
      <c r="I37" s="1143"/>
      <c r="J37" s="1898">
        <v>10</v>
      </c>
      <c r="K37" s="858">
        <v>0</v>
      </c>
      <c r="L37" s="1143">
        <v>15</v>
      </c>
      <c r="M37" s="858">
        <v>0</v>
      </c>
      <c r="N37" s="1900">
        <v>10</v>
      </c>
      <c r="O37" s="858">
        <v>0</v>
      </c>
      <c r="P37" s="1143">
        <v>15</v>
      </c>
      <c r="Q37" s="858">
        <v>0</v>
      </c>
      <c r="R37" s="1143">
        <v>10</v>
      </c>
      <c r="S37" s="858">
        <v>0</v>
      </c>
      <c r="T37" s="1143">
        <v>10</v>
      </c>
      <c r="U37" s="858">
        <v>0</v>
      </c>
      <c r="V37" s="1447"/>
      <c r="W37" s="173"/>
      <c r="X37" s="1738" t="s">
        <v>4111</v>
      </c>
    </row>
    <row r="38" spans="1:24" ht="25.5" x14ac:dyDescent="0.25">
      <c r="A38" s="2012"/>
      <c r="B38" s="1902"/>
      <c r="C38" s="1902"/>
      <c r="D38" s="674"/>
      <c r="E38" s="674"/>
      <c r="F38" s="675"/>
      <c r="G38" s="1899" t="s">
        <v>673</v>
      </c>
      <c r="H38" s="1904" t="s">
        <v>69</v>
      </c>
      <c r="I38" s="1143"/>
      <c r="J38" s="1898">
        <v>0</v>
      </c>
      <c r="K38" s="859">
        <v>0</v>
      </c>
      <c r="L38" s="1143">
        <v>0</v>
      </c>
      <c r="M38" s="859">
        <v>0</v>
      </c>
      <c r="N38" s="1900">
        <v>1</v>
      </c>
      <c r="O38" s="859">
        <v>0</v>
      </c>
      <c r="P38" s="1143">
        <v>0</v>
      </c>
      <c r="Q38" s="859">
        <v>0</v>
      </c>
      <c r="R38" s="1143">
        <v>0</v>
      </c>
      <c r="S38" s="859">
        <v>0</v>
      </c>
      <c r="T38" s="1143">
        <v>0</v>
      </c>
      <c r="U38" s="859">
        <v>0</v>
      </c>
      <c r="V38" s="1447"/>
      <c r="W38" s="173"/>
      <c r="X38" s="1738" t="s">
        <v>4111</v>
      </c>
    </row>
    <row r="39" spans="1:24" ht="63.75" x14ac:dyDescent="0.25">
      <c r="A39" s="2012"/>
      <c r="B39" s="1902"/>
      <c r="C39" s="1902"/>
      <c r="D39" s="674"/>
      <c r="E39" s="674"/>
      <c r="F39" s="673" t="s">
        <v>158</v>
      </c>
      <c r="G39" s="1921" t="s">
        <v>674</v>
      </c>
      <c r="H39" s="1904" t="s">
        <v>69</v>
      </c>
      <c r="I39" s="1143"/>
      <c r="J39" s="1898"/>
      <c r="K39" s="857">
        <v>52500</v>
      </c>
      <c r="L39" s="1143"/>
      <c r="M39" s="857">
        <v>100000</v>
      </c>
      <c r="N39" s="1900"/>
      <c r="O39" s="857">
        <v>100000</v>
      </c>
      <c r="P39" s="1143"/>
      <c r="Q39" s="857">
        <v>100000</v>
      </c>
      <c r="R39" s="1143"/>
      <c r="S39" s="857">
        <v>100000</v>
      </c>
      <c r="T39" s="1143"/>
      <c r="U39" s="857">
        <v>100000</v>
      </c>
      <c r="V39" s="1447"/>
      <c r="W39" s="173"/>
      <c r="X39" s="1738" t="s">
        <v>4111</v>
      </c>
    </row>
    <row r="40" spans="1:24" x14ac:dyDescent="0.25">
      <c r="A40" s="2012"/>
      <c r="B40" s="1902"/>
      <c r="C40" s="1902"/>
      <c r="D40" s="674"/>
      <c r="E40" s="674"/>
      <c r="F40" s="674"/>
      <c r="G40" s="1899" t="s">
        <v>675</v>
      </c>
      <c r="H40" s="1904" t="s">
        <v>75</v>
      </c>
      <c r="I40" s="1143"/>
      <c r="J40" s="1898">
        <v>15</v>
      </c>
      <c r="K40" s="858">
        <v>0</v>
      </c>
      <c r="L40" s="1143">
        <v>10</v>
      </c>
      <c r="M40" s="858">
        <v>0</v>
      </c>
      <c r="N40" s="1900"/>
      <c r="O40" s="858">
        <v>0</v>
      </c>
      <c r="P40" s="1143"/>
      <c r="Q40" s="858">
        <v>0</v>
      </c>
      <c r="R40" s="1143">
        <v>10</v>
      </c>
      <c r="S40" s="858">
        <v>0</v>
      </c>
      <c r="T40" s="1143">
        <v>10</v>
      </c>
      <c r="U40" s="858">
        <v>0</v>
      </c>
      <c r="V40" s="1447"/>
      <c r="W40" s="173"/>
      <c r="X40" s="1738" t="s">
        <v>4111</v>
      </c>
    </row>
    <row r="41" spans="1:24" x14ac:dyDescent="0.25">
      <c r="A41" s="2012"/>
      <c r="B41" s="1902"/>
      <c r="C41" s="1902"/>
      <c r="D41" s="674"/>
      <c r="E41" s="674"/>
      <c r="F41" s="674"/>
      <c r="G41" s="1899" t="s">
        <v>676</v>
      </c>
      <c r="H41" s="1904" t="s">
        <v>75</v>
      </c>
      <c r="I41" s="1143"/>
      <c r="J41" s="1898">
        <v>12</v>
      </c>
      <c r="K41" s="858">
        <v>0</v>
      </c>
      <c r="L41" s="1143">
        <v>5</v>
      </c>
      <c r="M41" s="858">
        <v>0</v>
      </c>
      <c r="N41" s="1900"/>
      <c r="O41" s="858">
        <v>0</v>
      </c>
      <c r="P41" s="1143">
        <v>25</v>
      </c>
      <c r="Q41" s="858">
        <v>0</v>
      </c>
      <c r="R41" s="1143"/>
      <c r="S41" s="858">
        <v>0</v>
      </c>
      <c r="T41" s="1143"/>
      <c r="U41" s="858">
        <v>0</v>
      </c>
      <c r="V41" s="1447"/>
      <c r="W41" s="173"/>
      <c r="X41" s="1738" t="s">
        <v>4111</v>
      </c>
    </row>
    <row r="42" spans="1:24" x14ac:dyDescent="0.25">
      <c r="A42" s="2012"/>
      <c r="B42" s="1902"/>
      <c r="C42" s="1902"/>
      <c r="D42" s="674"/>
      <c r="E42" s="674"/>
      <c r="F42" s="674"/>
      <c r="G42" s="1899" t="s">
        <v>677</v>
      </c>
      <c r="H42" s="1904" t="s">
        <v>322</v>
      </c>
      <c r="I42" s="1143"/>
      <c r="J42" s="1898"/>
      <c r="K42" s="858">
        <v>0</v>
      </c>
      <c r="L42" s="1143"/>
      <c r="M42" s="858">
        <v>0</v>
      </c>
      <c r="N42" s="1900"/>
      <c r="O42" s="858">
        <v>0</v>
      </c>
      <c r="P42" s="1143">
        <v>5</v>
      </c>
      <c r="Q42" s="858">
        <v>0</v>
      </c>
      <c r="R42" s="1143"/>
      <c r="S42" s="858">
        <v>0</v>
      </c>
      <c r="T42" s="1143"/>
      <c r="U42" s="858">
        <v>0</v>
      </c>
      <c r="V42" s="1447"/>
      <c r="W42" s="173"/>
      <c r="X42" s="1738" t="s">
        <v>4111</v>
      </c>
    </row>
    <row r="43" spans="1:24" ht="38.25" x14ac:dyDescent="0.25">
      <c r="A43" s="2012"/>
      <c r="B43" s="1902"/>
      <c r="C43" s="1902"/>
      <c r="D43" s="674"/>
      <c r="E43" s="674"/>
      <c r="F43" s="674"/>
      <c r="G43" s="1899" t="s">
        <v>678</v>
      </c>
      <c r="H43" s="1904" t="s">
        <v>75</v>
      </c>
      <c r="I43" s="1143"/>
      <c r="J43" s="1898">
        <v>4</v>
      </c>
      <c r="K43" s="858">
        <v>0</v>
      </c>
      <c r="L43" s="1143">
        <v>5</v>
      </c>
      <c r="M43" s="858">
        <v>0</v>
      </c>
      <c r="N43" s="1900">
        <v>5</v>
      </c>
      <c r="O43" s="858">
        <v>0</v>
      </c>
      <c r="P43" s="1143"/>
      <c r="Q43" s="858">
        <v>0</v>
      </c>
      <c r="R43" s="1143"/>
      <c r="S43" s="858">
        <v>0</v>
      </c>
      <c r="T43" s="1143"/>
      <c r="U43" s="858">
        <v>0</v>
      </c>
      <c r="V43" s="1447"/>
      <c r="W43" s="173"/>
      <c r="X43" s="1738" t="s">
        <v>4111</v>
      </c>
    </row>
    <row r="44" spans="1:24" x14ac:dyDescent="0.25">
      <c r="A44" s="2012"/>
      <c r="B44" s="1902"/>
      <c r="C44" s="1902"/>
      <c r="D44" s="674"/>
      <c r="E44" s="674"/>
      <c r="F44" s="674"/>
      <c r="G44" s="1899" t="s">
        <v>679</v>
      </c>
      <c r="H44" s="1904" t="s">
        <v>75</v>
      </c>
      <c r="I44" s="1143"/>
      <c r="J44" s="1898">
        <v>3</v>
      </c>
      <c r="K44" s="858">
        <v>0</v>
      </c>
      <c r="L44" s="1143"/>
      <c r="M44" s="858">
        <v>0</v>
      </c>
      <c r="N44" s="1900">
        <v>5</v>
      </c>
      <c r="O44" s="858">
        <v>0</v>
      </c>
      <c r="P44" s="1143"/>
      <c r="Q44" s="858">
        <v>0</v>
      </c>
      <c r="R44" s="1143"/>
      <c r="S44" s="858">
        <v>0</v>
      </c>
      <c r="T44" s="1143"/>
      <c r="U44" s="858">
        <v>0</v>
      </c>
      <c r="V44" s="1447"/>
      <c r="W44" s="173"/>
      <c r="X44" s="1738" t="s">
        <v>4111</v>
      </c>
    </row>
    <row r="45" spans="1:24" x14ac:dyDescent="0.25">
      <c r="A45" s="2012"/>
      <c r="B45" s="1902"/>
      <c r="C45" s="1902"/>
      <c r="D45" s="674"/>
      <c r="E45" s="674"/>
      <c r="F45" s="674"/>
      <c r="G45" s="1899" t="s">
        <v>680</v>
      </c>
      <c r="H45" s="1904" t="s">
        <v>75</v>
      </c>
      <c r="I45" s="1143"/>
      <c r="J45" s="1898"/>
      <c r="K45" s="858">
        <v>0</v>
      </c>
      <c r="L45" s="1143"/>
      <c r="M45" s="858">
        <v>0</v>
      </c>
      <c r="N45" s="1900"/>
      <c r="O45" s="858">
        <v>0</v>
      </c>
      <c r="P45" s="1143"/>
      <c r="Q45" s="858">
        <v>0</v>
      </c>
      <c r="R45" s="1143">
        <v>1</v>
      </c>
      <c r="S45" s="858">
        <v>0</v>
      </c>
      <c r="T45" s="1143">
        <v>1</v>
      </c>
      <c r="U45" s="858">
        <v>0</v>
      </c>
      <c r="V45" s="1447"/>
      <c r="W45" s="173"/>
      <c r="X45" s="1738" t="s">
        <v>4111</v>
      </c>
    </row>
    <row r="46" spans="1:24" x14ac:dyDescent="0.25">
      <c r="A46" s="2012"/>
      <c r="B46" s="1902"/>
      <c r="C46" s="1902"/>
      <c r="D46" s="674"/>
      <c r="E46" s="674"/>
      <c r="F46" s="675"/>
      <c r="G46" s="1899" t="s">
        <v>681</v>
      </c>
      <c r="H46" s="1904" t="s">
        <v>75</v>
      </c>
      <c r="I46" s="1143"/>
      <c r="J46" s="1898"/>
      <c r="K46" s="859">
        <v>0</v>
      </c>
      <c r="L46" s="1143"/>
      <c r="M46" s="859">
        <v>0</v>
      </c>
      <c r="N46" s="1900"/>
      <c r="O46" s="859">
        <v>0</v>
      </c>
      <c r="P46" s="1143"/>
      <c r="Q46" s="859">
        <v>0</v>
      </c>
      <c r="R46" s="1143">
        <v>2</v>
      </c>
      <c r="S46" s="859">
        <v>0</v>
      </c>
      <c r="T46" s="1143">
        <v>2</v>
      </c>
      <c r="U46" s="859">
        <v>0</v>
      </c>
      <c r="V46" s="1447"/>
      <c r="W46" s="173"/>
      <c r="X46" s="1738" t="s">
        <v>4111</v>
      </c>
    </row>
    <row r="47" spans="1:24" ht="76.5" x14ac:dyDescent="0.25">
      <c r="A47" s="2012"/>
      <c r="B47" s="1902"/>
      <c r="C47" s="1902"/>
      <c r="D47" s="674"/>
      <c r="E47" s="674"/>
      <c r="F47" s="1899" t="s">
        <v>164</v>
      </c>
      <c r="G47" s="1921" t="s">
        <v>682</v>
      </c>
      <c r="H47" s="1904" t="s">
        <v>75</v>
      </c>
      <c r="I47" s="1143"/>
      <c r="J47" s="1898">
        <v>1</v>
      </c>
      <c r="K47" s="1900">
        <v>157500</v>
      </c>
      <c r="L47" s="161">
        <v>1</v>
      </c>
      <c r="M47" s="1143">
        <v>200000</v>
      </c>
      <c r="N47" s="863">
        <v>1</v>
      </c>
      <c r="O47" s="1143">
        <v>220000</v>
      </c>
      <c r="P47" s="161">
        <v>1</v>
      </c>
      <c r="Q47" s="1143">
        <v>242000</v>
      </c>
      <c r="R47" s="161">
        <v>1</v>
      </c>
      <c r="S47" s="1143">
        <v>266200</v>
      </c>
      <c r="T47" s="161">
        <v>1</v>
      </c>
      <c r="U47" s="1143">
        <v>292820</v>
      </c>
      <c r="V47" s="1447"/>
      <c r="W47" s="173"/>
      <c r="X47" s="1738" t="s">
        <v>4111</v>
      </c>
    </row>
    <row r="48" spans="1:24" ht="63.75" x14ac:dyDescent="0.25">
      <c r="A48" s="2012"/>
      <c r="B48" s="1902"/>
      <c r="C48" s="1902"/>
      <c r="D48" s="674"/>
      <c r="E48" s="674"/>
      <c r="F48" s="1899" t="s">
        <v>73</v>
      </c>
      <c r="G48" s="1921" t="s">
        <v>683</v>
      </c>
      <c r="H48" s="1904" t="s">
        <v>75</v>
      </c>
      <c r="I48" s="1143"/>
      <c r="J48" s="1898">
        <v>35</v>
      </c>
      <c r="K48" s="1900">
        <v>10500</v>
      </c>
      <c r="L48" s="1143">
        <v>69</v>
      </c>
      <c r="M48" s="1143">
        <v>20000</v>
      </c>
      <c r="N48" s="1900">
        <v>94</v>
      </c>
      <c r="O48" s="1143">
        <v>20000</v>
      </c>
      <c r="P48" s="1143">
        <v>104</v>
      </c>
      <c r="Q48" s="1143">
        <v>22000</v>
      </c>
      <c r="R48" s="1143">
        <v>124</v>
      </c>
      <c r="S48" s="1143">
        <v>24200</v>
      </c>
      <c r="T48" s="1143">
        <v>124</v>
      </c>
      <c r="U48" s="1143">
        <v>26620</v>
      </c>
      <c r="V48" s="1447"/>
      <c r="W48" s="173"/>
      <c r="X48" s="1738" t="s">
        <v>4111</v>
      </c>
    </row>
    <row r="49" spans="1:24" s="1909" customFormat="1" ht="102" x14ac:dyDescent="0.25">
      <c r="A49" s="2012"/>
      <c r="B49" s="1903"/>
      <c r="C49" s="1903"/>
      <c r="D49" s="675"/>
      <c r="E49" s="675"/>
      <c r="F49" s="1918" t="s">
        <v>77</v>
      </c>
      <c r="G49" s="173" t="s">
        <v>3164</v>
      </c>
      <c r="H49" s="1904" t="s">
        <v>79</v>
      </c>
      <c r="I49" s="1143">
        <v>25</v>
      </c>
      <c r="J49" s="1898">
        <v>5</v>
      </c>
      <c r="K49" s="1898">
        <f>SUM(K50)</f>
        <v>21000</v>
      </c>
      <c r="L49" s="1898">
        <v>5</v>
      </c>
      <c r="M49" s="1898">
        <f>SUM(M50)</f>
        <v>30000</v>
      </c>
      <c r="N49" s="1898">
        <v>5</v>
      </c>
      <c r="O49" s="1898">
        <f>SUM(O50)</f>
        <v>30000</v>
      </c>
      <c r="P49" s="1898">
        <v>5</v>
      </c>
      <c r="Q49" s="1898">
        <f>SUM(Q50)</f>
        <v>32500</v>
      </c>
      <c r="R49" s="1898">
        <v>5</v>
      </c>
      <c r="S49" s="1898">
        <f>SUM(S50)</f>
        <v>35000</v>
      </c>
      <c r="T49" s="1898">
        <v>5</v>
      </c>
      <c r="U49" s="1898">
        <f>SUM(U50)</f>
        <v>35000</v>
      </c>
      <c r="V49" s="1898">
        <v>25</v>
      </c>
      <c r="W49" s="173"/>
      <c r="X49" s="1738" t="s">
        <v>4111</v>
      </c>
    </row>
    <row r="50" spans="1:24" ht="165.75" x14ac:dyDescent="0.25">
      <c r="A50" s="2012"/>
      <c r="B50" s="1902"/>
      <c r="C50" s="1902"/>
      <c r="D50" s="674"/>
      <c r="E50" s="674"/>
      <c r="F50" s="1903" t="s">
        <v>80</v>
      </c>
      <c r="G50" s="1922" t="s">
        <v>684</v>
      </c>
      <c r="H50" s="1907" t="s">
        <v>79</v>
      </c>
      <c r="I50" s="859"/>
      <c r="J50" s="1729">
        <v>5</v>
      </c>
      <c r="K50" s="1630">
        <v>21000</v>
      </c>
      <c r="L50" s="1777">
        <v>5</v>
      </c>
      <c r="M50" s="859">
        <v>30000</v>
      </c>
      <c r="N50" s="1908">
        <v>5</v>
      </c>
      <c r="O50" s="859">
        <v>30000</v>
      </c>
      <c r="P50" s="1777">
        <v>5</v>
      </c>
      <c r="Q50" s="859">
        <v>32500</v>
      </c>
      <c r="R50" s="1777">
        <v>5</v>
      </c>
      <c r="S50" s="859">
        <v>35000</v>
      </c>
      <c r="T50" s="1777">
        <v>5</v>
      </c>
      <c r="U50" s="859">
        <v>35000</v>
      </c>
      <c r="V50" s="1766"/>
      <c r="W50" s="675"/>
      <c r="X50" s="1738" t="s">
        <v>4111</v>
      </c>
    </row>
    <row r="51" spans="1:24" ht="89.25" x14ac:dyDescent="0.25">
      <c r="A51" s="2012"/>
      <c r="B51" s="1902"/>
      <c r="C51" s="1902"/>
      <c r="D51" s="674"/>
      <c r="E51" s="674"/>
      <c r="F51" s="1918" t="s">
        <v>167</v>
      </c>
      <c r="G51" s="173" t="s">
        <v>3111</v>
      </c>
      <c r="H51" s="1904" t="s">
        <v>79</v>
      </c>
      <c r="I51" s="1143">
        <v>0</v>
      </c>
      <c r="J51" s="1898">
        <v>1</v>
      </c>
      <c r="K51" s="1898">
        <f>SUM(K52)</f>
        <v>25000</v>
      </c>
      <c r="L51" s="1898">
        <v>1</v>
      </c>
      <c r="M51" s="1898">
        <f>SUM(M52)</f>
        <v>15000</v>
      </c>
      <c r="N51" s="1898">
        <v>1</v>
      </c>
      <c r="O51" s="1898">
        <f>SUM(O52)</f>
        <v>17500</v>
      </c>
      <c r="P51" s="1898">
        <v>1</v>
      </c>
      <c r="Q51" s="1898">
        <f>SUM(Q52)</f>
        <v>19250</v>
      </c>
      <c r="R51" s="1898">
        <v>1</v>
      </c>
      <c r="S51" s="1898">
        <f>SUM(S52)</f>
        <v>21175</v>
      </c>
      <c r="T51" s="1898">
        <v>1</v>
      </c>
      <c r="U51" s="1898">
        <f>SUM(U52)</f>
        <v>21175</v>
      </c>
      <c r="V51" s="1898">
        <v>6</v>
      </c>
      <c r="W51" s="173"/>
      <c r="X51" s="1738" t="s">
        <v>4111</v>
      </c>
    </row>
    <row r="52" spans="1:24" ht="89.25" x14ac:dyDescent="0.25">
      <c r="A52" s="2012"/>
      <c r="B52" s="1902"/>
      <c r="C52" s="1902"/>
      <c r="D52" s="674"/>
      <c r="E52" s="674"/>
      <c r="F52" s="1899" t="s">
        <v>169</v>
      </c>
      <c r="G52" s="1921" t="s">
        <v>685</v>
      </c>
      <c r="H52" s="1904" t="s">
        <v>79</v>
      </c>
      <c r="I52" s="1143"/>
      <c r="J52" s="1898">
        <v>1</v>
      </c>
      <c r="K52" s="1900">
        <v>25000</v>
      </c>
      <c r="L52" s="161">
        <v>1</v>
      </c>
      <c r="M52" s="1143">
        <v>15000</v>
      </c>
      <c r="N52" s="1900">
        <v>1</v>
      </c>
      <c r="O52" s="1143">
        <v>17500</v>
      </c>
      <c r="P52" s="161">
        <v>1</v>
      </c>
      <c r="Q52" s="1143">
        <v>19250</v>
      </c>
      <c r="R52" s="161">
        <v>1</v>
      </c>
      <c r="S52" s="1143">
        <v>21175</v>
      </c>
      <c r="T52" s="161">
        <v>1</v>
      </c>
      <c r="U52" s="1143">
        <v>21175</v>
      </c>
      <c r="V52" s="1447">
        <v>6</v>
      </c>
      <c r="W52" s="173"/>
      <c r="X52" s="1738" t="s">
        <v>4111</v>
      </c>
    </row>
    <row r="53" spans="1:24" ht="89.25" x14ac:dyDescent="0.25">
      <c r="A53" s="2012"/>
      <c r="B53" s="1902"/>
      <c r="C53" s="1902"/>
      <c r="D53" s="674"/>
      <c r="E53" s="674"/>
      <c r="F53" s="1918" t="s">
        <v>612</v>
      </c>
      <c r="G53" s="173" t="s">
        <v>3155</v>
      </c>
      <c r="H53" s="1904" t="s">
        <v>100</v>
      </c>
      <c r="I53" s="1143">
        <v>0</v>
      </c>
      <c r="J53" s="1898">
        <v>10</v>
      </c>
      <c r="K53" s="1898">
        <f>SUM(K54)</f>
        <v>145000</v>
      </c>
      <c r="L53" s="1898">
        <v>10</v>
      </c>
      <c r="M53" s="1898">
        <f>SUM(M54)</f>
        <v>50000</v>
      </c>
      <c r="N53" s="1898">
        <v>10</v>
      </c>
      <c r="O53" s="1898">
        <f>SUM(O54)</f>
        <v>55000</v>
      </c>
      <c r="P53" s="1898">
        <v>15</v>
      </c>
      <c r="Q53" s="1898">
        <f>SUM(Q54)</f>
        <v>60500</v>
      </c>
      <c r="R53" s="1898">
        <v>20</v>
      </c>
      <c r="S53" s="1898">
        <f>SUM(S54)</f>
        <v>66550</v>
      </c>
      <c r="T53" s="1898">
        <v>20</v>
      </c>
      <c r="U53" s="1898">
        <f>SUM(U54)</f>
        <v>66550</v>
      </c>
      <c r="V53" s="1898"/>
      <c r="W53" s="173"/>
      <c r="X53" s="1738" t="s">
        <v>4111</v>
      </c>
    </row>
    <row r="54" spans="1:24" ht="127.5" x14ac:dyDescent="0.25">
      <c r="A54" s="2012"/>
      <c r="B54" s="1902"/>
      <c r="C54" s="1902"/>
      <c r="D54" s="674"/>
      <c r="E54" s="674"/>
      <c r="F54" s="1901" t="s">
        <v>614</v>
      </c>
      <c r="G54" s="1901" t="s">
        <v>686</v>
      </c>
      <c r="H54" s="1904" t="s">
        <v>100</v>
      </c>
      <c r="I54" s="1143"/>
      <c r="J54" s="1898">
        <v>10</v>
      </c>
      <c r="K54" s="1900">
        <v>145000</v>
      </c>
      <c r="L54" s="1143">
        <v>10</v>
      </c>
      <c r="M54" s="1143">
        <v>50000</v>
      </c>
      <c r="N54" s="1900">
        <v>10</v>
      </c>
      <c r="O54" s="1143">
        <v>55000</v>
      </c>
      <c r="P54" s="1143">
        <v>15</v>
      </c>
      <c r="Q54" s="1143">
        <v>60500</v>
      </c>
      <c r="R54" s="1143">
        <v>20</v>
      </c>
      <c r="S54" s="1143">
        <v>66550</v>
      </c>
      <c r="T54" s="1143">
        <v>20</v>
      </c>
      <c r="U54" s="1143">
        <v>66550</v>
      </c>
      <c r="V54" s="1447"/>
      <c r="W54" s="173"/>
      <c r="X54" s="1738" t="s">
        <v>4111</v>
      </c>
    </row>
    <row r="55" spans="1:24" s="1909" customFormat="1" x14ac:dyDescent="0.25">
      <c r="A55" s="2012"/>
      <c r="B55" s="1899"/>
      <c r="C55" s="1899"/>
      <c r="D55" s="173"/>
      <c r="E55" s="173"/>
      <c r="F55" s="1899"/>
      <c r="G55" s="1899"/>
      <c r="H55" s="1904"/>
      <c r="I55" s="1143"/>
      <c r="J55" s="1898"/>
      <c r="K55" s="1900"/>
      <c r="L55" s="1143"/>
      <c r="M55" s="1143"/>
      <c r="N55" s="1900"/>
      <c r="O55" s="1143"/>
      <c r="P55" s="1143"/>
      <c r="Q55" s="1143"/>
      <c r="R55" s="1143"/>
      <c r="S55" s="1143"/>
      <c r="T55" s="1143"/>
      <c r="U55" s="1143"/>
      <c r="V55" s="1447"/>
      <c r="W55" s="173"/>
      <c r="X55" s="1738" t="s">
        <v>4111</v>
      </c>
    </row>
    <row r="56" spans="1:24" ht="409.5" x14ac:dyDescent="0.25">
      <c r="A56" s="2012"/>
      <c r="B56" s="1914" t="s">
        <v>3954</v>
      </c>
      <c r="C56" s="674" t="s">
        <v>3952</v>
      </c>
      <c r="D56" s="674" t="s">
        <v>3955</v>
      </c>
      <c r="E56" s="674" t="s">
        <v>3835</v>
      </c>
      <c r="F56" s="1917" t="s">
        <v>3953</v>
      </c>
      <c r="G56" s="675"/>
      <c r="H56" s="1907" t="s">
        <v>19</v>
      </c>
      <c r="I56" s="859">
        <v>91.89</v>
      </c>
      <c r="J56" s="1729">
        <v>92.12</v>
      </c>
      <c r="K56" s="1630"/>
      <c r="L56" s="859">
        <v>92.3</v>
      </c>
      <c r="M56" s="1630"/>
      <c r="N56" s="1630">
        <v>92</v>
      </c>
      <c r="O56" s="1630">
        <v>95</v>
      </c>
      <c r="P56" s="859">
        <v>92</v>
      </c>
      <c r="Q56" s="1630"/>
      <c r="R56" s="859">
        <v>93</v>
      </c>
      <c r="S56" s="1630"/>
      <c r="T56" s="859">
        <v>95</v>
      </c>
      <c r="U56" s="1630"/>
      <c r="V56" s="1766">
        <v>95</v>
      </c>
      <c r="W56" s="675"/>
      <c r="X56" s="1738" t="s">
        <v>4111</v>
      </c>
    </row>
    <row r="57" spans="1:24" ht="114.75" x14ac:dyDescent="0.25">
      <c r="A57" s="2012"/>
      <c r="B57" s="1902"/>
      <c r="C57" s="1902"/>
      <c r="D57" s="674"/>
      <c r="E57" s="674"/>
      <c r="F57" s="674" t="s">
        <v>688</v>
      </c>
      <c r="G57" s="675" t="s">
        <v>3165</v>
      </c>
      <c r="H57" s="1907" t="s">
        <v>19</v>
      </c>
      <c r="I57" s="1765">
        <v>91</v>
      </c>
      <c r="J57" s="1765">
        <v>90</v>
      </c>
      <c r="K57" s="1716">
        <f>SUM(K61:K64)</f>
        <v>908000</v>
      </c>
      <c r="L57" s="1765">
        <v>90</v>
      </c>
      <c r="M57" s="1716">
        <f>SUM(M61:M64)</f>
        <v>1100000</v>
      </c>
      <c r="N57" s="1765">
        <v>90</v>
      </c>
      <c r="O57" s="1716">
        <f>SUM(O61:O64)</f>
        <v>1210000</v>
      </c>
      <c r="P57" s="1765">
        <v>90</v>
      </c>
      <c r="Q57" s="1716">
        <f>SUM(Q61:Q64)</f>
        <v>1331000</v>
      </c>
      <c r="R57" s="1765">
        <v>90</v>
      </c>
      <c r="S57" s="1716">
        <f>SUM(S61:S64)</f>
        <v>1464100</v>
      </c>
      <c r="T57" s="1765">
        <v>90</v>
      </c>
      <c r="U57" s="1716">
        <f>SUM(U61:U64)</f>
        <v>1610510</v>
      </c>
      <c r="V57" s="1766">
        <v>90</v>
      </c>
      <c r="W57" s="675"/>
      <c r="X57" s="1738" t="s">
        <v>4111</v>
      </c>
    </row>
    <row r="58" spans="1:24" s="1909" customFormat="1" ht="76.5" x14ac:dyDescent="0.25">
      <c r="A58" s="2012"/>
      <c r="B58" s="1903"/>
      <c r="C58" s="1903"/>
      <c r="D58" s="675"/>
      <c r="E58" s="675"/>
      <c r="F58" s="675"/>
      <c r="G58" s="173" t="s">
        <v>3166</v>
      </c>
      <c r="H58" s="1904" t="s">
        <v>19</v>
      </c>
      <c r="I58" s="1626">
        <v>100</v>
      </c>
      <c r="J58" s="1626">
        <v>100</v>
      </c>
      <c r="K58" s="1718">
        <f>SUM(K65:K68)</f>
        <v>997605</v>
      </c>
      <c r="L58" s="1626">
        <v>100</v>
      </c>
      <c r="M58" s="1718">
        <f>SUM(M65:M68)</f>
        <v>1130000</v>
      </c>
      <c r="N58" s="1626">
        <v>100</v>
      </c>
      <c r="O58" s="1718">
        <f>SUM(O65:O68)</f>
        <v>1243000</v>
      </c>
      <c r="P58" s="1626">
        <v>100</v>
      </c>
      <c r="Q58" s="1718">
        <f>SUM(Q65:Q68)</f>
        <v>1367300</v>
      </c>
      <c r="R58" s="1626">
        <v>100</v>
      </c>
      <c r="S58" s="1718">
        <f>SUM(S65:S68)</f>
        <v>1504030</v>
      </c>
      <c r="T58" s="1626">
        <v>100</v>
      </c>
      <c r="U58" s="1718">
        <f>SUM(U65:U68)</f>
        <v>1654433</v>
      </c>
      <c r="V58" s="1447">
        <v>100</v>
      </c>
      <c r="W58" s="173"/>
      <c r="X58" s="1738" t="s">
        <v>4111</v>
      </c>
    </row>
    <row r="59" spans="1:24" ht="64.5" thickBot="1" x14ac:dyDescent="0.3">
      <c r="A59" s="2012"/>
      <c r="B59" s="1902"/>
      <c r="C59" s="1902"/>
      <c r="D59" s="674"/>
      <c r="E59" s="674"/>
      <c r="F59" s="674"/>
      <c r="G59" s="675" t="s">
        <v>689</v>
      </c>
      <c r="H59" s="1907" t="s">
        <v>19</v>
      </c>
      <c r="I59" s="1910">
        <v>79</v>
      </c>
      <c r="J59" s="1910">
        <v>79</v>
      </c>
      <c r="K59" s="1718">
        <f>SUM(K69:K75)</f>
        <v>903500</v>
      </c>
      <c r="L59" s="1910">
        <v>79</v>
      </c>
      <c r="M59" s="1718">
        <f>SUM(M69:M75)</f>
        <v>970500</v>
      </c>
      <c r="N59" s="1910">
        <v>80</v>
      </c>
      <c r="O59" s="1718">
        <f>SUM(O69:O75)</f>
        <v>1067550</v>
      </c>
      <c r="P59" s="1910">
        <v>80</v>
      </c>
      <c r="Q59" s="1718">
        <f>SUM(Q69:Q75)</f>
        <v>1174305</v>
      </c>
      <c r="R59" s="1910">
        <v>83</v>
      </c>
      <c r="S59" s="1718">
        <f>SUM(S69:S75)</f>
        <v>1291735.5</v>
      </c>
      <c r="T59" s="1910">
        <v>83</v>
      </c>
      <c r="U59" s="1718">
        <f>SUM(U69:U75)</f>
        <v>1420909.05</v>
      </c>
      <c r="V59" s="1766">
        <v>83</v>
      </c>
      <c r="W59" s="675"/>
      <c r="X59" s="1738" t="s">
        <v>4111</v>
      </c>
    </row>
    <row r="60" spans="1:24" ht="39" thickTop="1" x14ac:dyDescent="0.25">
      <c r="A60" s="2012"/>
      <c r="B60" s="1902"/>
      <c r="C60" s="1902"/>
      <c r="D60" s="674"/>
      <c r="E60" s="674"/>
      <c r="F60" s="1272"/>
      <c r="G60" s="675" t="s">
        <v>687</v>
      </c>
      <c r="H60" s="1904" t="s">
        <v>19</v>
      </c>
      <c r="I60" s="1626">
        <v>102</v>
      </c>
      <c r="J60" s="1626">
        <v>100</v>
      </c>
      <c r="K60" s="1719" t="e">
        <f>SUM(#REF!)</f>
        <v>#REF!</v>
      </c>
      <c r="L60" s="1626">
        <v>100</v>
      </c>
      <c r="M60" s="1719" t="e">
        <f>SUM(#REF!)</f>
        <v>#REF!</v>
      </c>
      <c r="N60" s="1626">
        <v>100</v>
      </c>
      <c r="O60" s="1719" t="e">
        <f>SUM(#REF!)</f>
        <v>#REF!</v>
      </c>
      <c r="P60" s="1626">
        <v>100</v>
      </c>
      <c r="Q60" s="1719" t="e">
        <f>SUM(#REF!)</f>
        <v>#REF!</v>
      </c>
      <c r="R60" s="1626">
        <v>100</v>
      </c>
      <c r="S60" s="1719" t="e">
        <f>SUM(#REF!)</f>
        <v>#REF!</v>
      </c>
      <c r="T60" s="1626">
        <v>100</v>
      </c>
      <c r="U60" s="1719" t="e">
        <f>SUM(#REF!)</f>
        <v>#REF!</v>
      </c>
      <c r="V60" s="1143">
        <v>100</v>
      </c>
      <c r="W60" s="173"/>
      <c r="X60" s="1738" t="s">
        <v>4111</v>
      </c>
    </row>
    <row r="61" spans="1:24" ht="63.75" x14ac:dyDescent="0.25">
      <c r="A61" s="2012"/>
      <c r="B61" s="1902"/>
      <c r="C61" s="1902"/>
      <c r="D61" s="674"/>
      <c r="E61" s="674"/>
      <c r="F61" s="673" t="s">
        <v>4113</v>
      </c>
      <c r="G61" s="1921" t="s">
        <v>691</v>
      </c>
      <c r="H61" s="1904" t="s">
        <v>79</v>
      </c>
      <c r="I61" s="1143"/>
      <c r="J61" s="1898">
        <v>1</v>
      </c>
      <c r="K61" s="857">
        <v>573000</v>
      </c>
      <c r="L61" s="1143">
        <v>1</v>
      </c>
      <c r="M61" s="857">
        <v>750000</v>
      </c>
      <c r="N61" s="863">
        <v>1</v>
      </c>
      <c r="O61" s="857">
        <v>825000</v>
      </c>
      <c r="P61" s="1143">
        <v>1</v>
      </c>
      <c r="Q61" s="857">
        <v>907500</v>
      </c>
      <c r="R61" s="1143">
        <v>1</v>
      </c>
      <c r="S61" s="857">
        <v>998250</v>
      </c>
      <c r="T61" s="1143">
        <v>1</v>
      </c>
      <c r="U61" s="857">
        <v>1098075</v>
      </c>
      <c r="V61" s="1447"/>
      <c r="W61" s="173"/>
      <c r="X61" s="1738" t="s">
        <v>4111</v>
      </c>
    </row>
    <row r="62" spans="1:24" ht="38.25" x14ac:dyDescent="0.25">
      <c r="A62" s="2012"/>
      <c r="B62" s="1902"/>
      <c r="C62" s="1902"/>
      <c r="D62" s="674"/>
      <c r="E62" s="674"/>
      <c r="F62" s="675"/>
      <c r="G62" s="1899" t="s">
        <v>692</v>
      </c>
      <c r="H62" s="1904" t="s">
        <v>100</v>
      </c>
      <c r="I62" s="1143"/>
      <c r="J62" s="1898">
        <v>216</v>
      </c>
      <c r="K62" s="859">
        <v>0</v>
      </c>
      <c r="L62" s="1143">
        <v>216</v>
      </c>
      <c r="M62" s="859">
        <v>0</v>
      </c>
      <c r="N62" s="863">
        <v>180</v>
      </c>
      <c r="O62" s="859">
        <v>0</v>
      </c>
      <c r="P62" s="1143">
        <v>180</v>
      </c>
      <c r="Q62" s="859">
        <v>0</v>
      </c>
      <c r="R62" s="1143">
        <v>180</v>
      </c>
      <c r="S62" s="859">
        <v>0</v>
      </c>
      <c r="T62" s="1143">
        <v>180</v>
      </c>
      <c r="U62" s="859">
        <v>0</v>
      </c>
      <c r="V62" s="1447"/>
      <c r="W62" s="173"/>
      <c r="X62" s="1738" t="s">
        <v>4111</v>
      </c>
    </row>
    <row r="63" spans="1:24" ht="76.5" x14ac:dyDescent="0.25">
      <c r="A63" s="2012"/>
      <c r="B63" s="1902"/>
      <c r="C63" s="1902"/>
      <c r="D63" s="674"/>
      <c r="E63" s="674"/>
      <c r="F63" s="673" t="s">
        <v>4114</v>
      </c>
      <c r="G63" s="1921" t="s">
        <v>694</v>
      </c>
      <c r="H63" s="1904" t="s">
        <v>100</v>
      </c>
      <c r="I63" s="1143"/>
      <c r="J63" s="1898">
        <v>14052</v>
      </c>
      <c r="K63" s="857">
        <v>335000</v>
      </c>
      <c r="L63" s="1143">
        <v>14000</v>
      </c>
      <c r="M63" s="857">
        <v>350000</v>
      </c>
      <c r="N63" s="1900">
        <v>14050</v>
      </c>
      <c r="O63" s="857">
        <v>385000</v>
      </c>
      <c r="P63" s="1143">
        <v>14054</v>
      </c>
      <c r="Q63" s="857">
        <v>423500</v>
      </c>
      <c r="R63" s="1143">
        <v>14060</v>
      </c>
      <c r="S63" s="857">
        <v>465850</v>
      </c>
      <c r="T63" s="1143">
        <v>14060</v>
      </c>
      <c r="U63" s="857">
        <v>512435</v>
      </c>
      <c r="V63" s="1447"/>
      <c r="W63" s="173"/>
      <c r="X63" s="1738" t="s">
        <v>4111</v>
      </c>
    </row>
    <row r="64" spans="1:24" ht="114.75" x14ac:dyDescent="0.25">
      <c r="A64" s="2012"/>
      <c r="B64" s="1902"/>
      <c r="C64" s="1902"/>
      <c r="D64" s="674"/>
      <c r="E64" s="674"/>
      <c r="F64" s="675"/>
      <c r="G64" s="1899" t="s">
        <v>695</v>
      </c>
      <c r="H64" s="1904" t="s">
        <v>696</v>
      </c>
      <c r="I64" s="1143"/>
      <c r="J64" s="1898">
        <v>1</v>
      </c>
      <c r="K64" s="859">
        <v>0</v>
      </c>
      <c r="L64" s="1143">
        <v>1</v>
      </c>
      <c r="M64" s="859">
        <v>0</v>
      </c>
      <c r="N64" s="1900">
        <v>1</v>
      </c>
      <c r="O64" s="859">
        <v>0</v>
      </c>
      <c r="P64" s="1143">
        <v>1</v>
      </c>
      <c r="Q64" s="859">
        <v>0</v>
      </c>
      <c r="R64" s="1143">
        <v>1</v>
      </c>
      <c r="S64" s="859">
        <v>0</v>
      </c>
      <c r="T64" s="1143">
        <v>1</v>
      </c>
      <c r="U64" s="859">
        <v>0</v>
      </c>
      <c r="V64" s="1447"/>
      <c r="W64" s="173"/>
      <c r="X64" s="1738" t="s">
        <v>4111</v>
      </c>
    </row>
    <row r="65" spans="1:24" s="1909" customFormat="1" ht="102" x14ac:dyDescent="0.25">
      <c r="A65" s="2012"/>
      <c r="B65" s="1903"/>
      <c r="C65" s="1903"/>
      <c r="D65" s="675"/>
      <c r="E65" s="675"/>
      <c r="F65" s="1899" t="s">
        <v>697</v>
      </c>
      <c r="G65" s="1921" t="s">
        <v>698</v>
      </c>
      <c r="H65" s="1904" t="s">
        <v>79</v>
      </c>
      <c r="I65" s="1143"/>
      <c r="J65" s="1898">
        <v>2</v>
      </c>
      <c r="K65" s="1900">
        <v>286105</v>
      </c>
      <c r="L65" s="1143">
        <v>2</v>
      </c>
      <c r="M65" s="1143">
        <v>350000</v>
      </c>
      <c r="N65" s="863">
        <v>2</v>
      </c>
      <c r="O65" s="1143">
        <v>385000</v>
      </c>
      <c r="P65" s="1143">
        <v>2</v>
      </c>
      <c r="Q65" s="1143">
        <v>423500</v>
      </c>
      <c r="R65" s="1143">
        <v>2</v>
      </c>
      <c r="S65" s="1143">
        <v>465850</v>
      </c>
      <c r="T65" s="1143">
        <v>2</v>
      </c>
      <c r="U65" s="1143">
        <v>512435</v>
      </c>
      <c r="V65" s="1447"/>
      <c r="W65" s="173"/>
      <c r="X65" s="1738" t="s">
        <v>4111</v>
      </c>
    </row>
    <row r="66" spans="1:24" ht="127.5" x14ac:dyDescent="0.25">
      <c r="A66" s="2012"/>
      <c r="B66" s="1902"/>
      <c r="C66" s="1902"/>
      <c r="D66" s="674"/>
      <c r="E66" s="674"/>
      <c r="F66" s="1926" t="s">
        <v>614</v>
      </c>
      <c r="G66" s="1922" t="s">
        <v>700</v>
      </c>
      <c r="H66" s="1907" t="s">
        <v>79</v>
      </c>
      <c r="I66" s="859"/>
      <c r="J66" s="1729">
        <v>2</v>
      </c>
      <c r="K66" s="1630">
        <v>285000</v>
      </c>
      <c r="L66" s="1777">
        <v>2</v>
      </c>
      <c r="M66" s="859">
        <v>300000</v>
      </c>
      <c r="N66" s="1908">
        <v>2</v>
      </c>
      <c r="O66" s="859">
        <v>330000</v>
      </c>
      <c r="P66" s="1777">
        <v>2</v>
      </c>
      <c r="Q66" s="859">
        <v>363000</v>
      </c>
      <c r="R66" s="1777">
        <v>2</v>
      </c>
      <c r="S66" s="859">
        <v>399300</v>
      </c>
      <c r="T66" s="1777">
        <v>2</v>
      </c>
      <c r="U66" s="859">
        <v>439230</v>
      </c>
      <c r="V66" s="1766"/>
      <c r="W66" s="675"/>
      <c r="X66" s="1738" t="s">
        <v>4111</v>
      </c>
    </row>
    <row r="67" spans="1:24" ht="63.75" x14ac:dyDescent="0.25">
      <c r="A67" s="2012"/>
      <c r="B67" s="1902"/>
      <c r="C67" s="1902"/>
      <c r="D67" s="674"/>
      <c r="E67" s="674"/>
      <c r="F67" s="1899" t="s">
        <v>701</v>
      </c>
      <c r="G67" s="1921" t="s">
        <v>702</v>
      </c>
      <c r="H67" s="1904" t="s">
        <v>79</v>
      </c>
      <c r="I67" s="1143"/>
      <c r="J67" s="1898">
        <v>2</v>
      </c>
      <c r="K67" s="1900">
        <v>160000</v>
      </c>
      <c r="L67" s="1143">
        <v>2</v>
      </c>
      <c r="M67" s="1143">
        <v>180000</v>
      </c>
      <c r="N67" s="1900">
        <v>2</v>
      </c>
      <c r="O67" s="1143">
        <v>198000</v>
      </c>
      <c r="P67" s="1143">
        <v>2</v>
      </c>
      <c r="Q67" s="1143">
        <v>217800</v>
      </c>
      <c r="R67" s="1143">
        <v>2</v>
      </c>
      <c r="S67" s="1143">
        <v>239580</v>
      </c>
      <c r="T67" s="1143">
        <v>2</v>
      </c>
      <c r="U67" s="1143">
        <v>263538</v>
      </c>
      <c r="V67" s="1447"/>
      <c r="W67" s="173"/>
      <c r="X67" s="1738" t="s">
        <v>4111</v>
      </c>
    </row>
    <row r="68" spans="1:24" ht="165.75" x14ac:dyDescent="0.25">
      <c r="A68" s="2012"/>
      <c r="B68" s="1902"/>
      <c r="C68" s="1902"/>
      <c r="D68" s="674"/>
      <c r="E68" s="674"/>
      <c r="F68" s="1899" t="s">
        <v>705</v>
      </c>
      <c r="G68" s="1921" t="s">
        <v>706</v>
      </c>
      <c r="H68" s="1904" t="s">
        <v>79</v>
      </c>
      <c r="I68" s="1143"/>
      <c r="J68" s="1898">
        <v>3</v>
      </c>
      <c r="K68" s="1900">
        <v>266500</v>
      </c>
      <c r="L68" s="1900">
        <v>3</v>
      </c>
      <c r="M68" s="1143">
        <v>300000</v>
      </c>
      <c r="N68" s="1900">
        <v>3</v>
      </c>
      <c r="O68" s="1143">
        <v>330000</v>
      </c>
      <c r="P68" s="161">
        <v>3</v>
      </c>
      <c r="Q68" s="1143">
        <v>363000</v>
      </c>
      <c r="R68" s="161">
        <v>3</v>
      </c>
      <c r="S68" s="1143">
        <v>399300</v>
      </c>
      <c r="T68" s="161">
        <v>3</v>
      </c>
      <c r="U68" s="1143">
        <v>439230</v>
      </c>
      <c r="V68" s="1447"/>
      <c r="W68" s="173"/>
      <c r="X68" s="1738" t="s">
        <v>4111</v>
      </c>
    </row>
    <row r="69" spans="1:24" ht="89.25" x14ac:dyDescent="0.25">
      <c r="A69" s="2012"/>
      <c r="B69" s="1902"/>
      <c r="C69" s="1902"/>
      <c r="D69" s="674"/>
      <c r="E69" s="674"/>
      <c r="F69" s="1899" t="s">
        <v>703</v>
      </c>
      <c r="G69" s="1921" t="s">
        <v>704</v>
      </c>
      <c r="H69" s="1904" t="s">
        <v>79</v>
      </c>
      <c r="I69" s="1143"/>
      <c r="J69" s="1898">
        <v>1</v>
      </c>
      <c r="K69" s="1900">
        <v>84000</v>
      </c>
      <c r="L69" s="1900">
        <v>1</v>
      </c>
      <c r="M69" s="1143">
        <v>80000</v>
      </c>
      <c r="N69" s="863">
        <v>1</v>
      </c>
      <c r="O69" s="1143">
        <v>88000</v>
      </c>
      <c r="P69" s="161">
        <v>1</v>
      </c>
      <c r="Q69" s="1143">
        <v>96800</v>
      </c>
      <c r="R69" s="161">
        <v>1</v>
      </c>
      <c r="S69" s="1143">
        <v>106480</v>
      </c>
      <c r="T69" s="161">
        <v>1</v>
      </c>
      <c r="U69" s="1143">
        <v>117128</v>
      </c>
      <c r="V69" s="1447"/>
      <c r="W69" s="173"/>
      <c r="X69" s="1738" t="s">
        <v>4111</v>
      </c>
    </row>
    <row r="70" spans="1:24" s="1909" customFormat="1" ht="114.75" x14ac:dyDescent="0.25">
      <c r="A70" s="2012"/>
      <c r="B70" s="1903"/>
      <c r="C70" s="1903"/>
      <c r="D70" s="675"/>
      <c r="E70" s="675"/>
      <c r="F70" s="1899" t="s">
        <v>707</v>
      </c>
      <c r="G70" s="1921" t="s">
        <v>708</v>
      </c>
      <c r="H70" s="1904" t="s">
        <v>103</v>
      </c>
      <c r="I70" s="1143"/>
      <c r="J70" s="1898">
        <v>12</v>
      </c>
      <c r="K70" s="1900">
        <v>210000</v>
      </c>
      <c r="L70" s="161">
        <v>12</v>
      </c>
      <c r="M70" s="1143">
        <v>250000</v>
      </c>
      <c r="N70" s="863">
        <v>12</v>
      </c>
      <c r="O70" s="1143">
        <v>275000</v>
      </c>
      <c r="P70" s="161">
        <v>12</v>
      </c>
      <c r="Q70" s="1143">
        <v>302500</v>
      </c>
      <c r="R70" s="161">
        <v>12</v>
      </c>
      <c r="S70" s="1143">
        <v>332750</v>
      </c>
      <c r="T70" s="161">
        <v>12</v>
      </c>
      <c r="U70" s="1143">
        <v>366025</v>
      </c>
      <c r="V70" s="173"/>
      <c r="W70" s="173"/>
      <c r="X70" s="1738" t="s">
        <v>4111</v>
      </c>
    </row>
    <row r="71" spans="1:24" ht="89.25" x14ac:dyDescent="0.25">
      <c r="A71" s="2012"/>
      <c r="B71" s="1902"/>
      <c r="C71" s="1902"/>
      <c r="D71" s="674"/>
      <c r="E71" s="674"/>
      <c r="F71" s="1903" t="s">
        <v>727</v>
      </c>
      <c r="G71" s="1922" t="s">
        <v>728</v>
      </c>
      <c r="H71" s="1907" t="s">
        <v>79</v>
      </c>
      <c r="I71" s="859"/>
      <c r="J71" s="1729">
        <v>2</v>
      </c>
      <c r="K71" s="1630">
        <v>304500</v>
      </c>
      <c r="L71" s="1777">
        <v>2</v>
      </c>
      <c r="M71" s="859">
        <v>340500</v>
      </c>
      <c r="N71" s="1908">
        <v>2</v>
      </c>
      <c r="O71" s="859">
        <v>374550</v>
      </c>
      <c r="P71" s="1777">
        <v>2</v>
      </c>
      <c r="Q71" s="859">
        <v>412005</v>
      </c>
      <c r="R71" s="1777">
        <v>2</v>
      </c>
      <c r="S71" s="859">
        <v>453205.5</v>
      </c>
      <c r="T71" s="1777">
        <v>2</v>
      </c>
      <c r="U71" s="859">
        <v>498526.05</v>
      </c>
      <c r="V71" s="675"/>
      <c r="W71" s="675"/>
      <c r="X71" s="1738" t="s">
        <v>4111</v>
      </c>
    </row>
    <row r="72" spans="1:24" ht="63.75" x14ac:dyDescent="0.25">
      <c r="A72" s="2012"/>
      <c r="B72" s="1902"/>
      <c r="C72" s="1902"/>
      <c r="D72" s="674"/>
      <c r="E72" s="674"/>
      <c r="F72" s="673" t="s">
        <v>729</v>
      </c>
      <c r="G72" s="1921" t="s">
        <v>730</v>
      </c>
      <c r="H72" s="1904"/>
      <c r="I72" s="1143"/>
      <c r="J72" s="1898"/>
      <c r="K72" s="1900">
        <v>305000</v>
      </c>
      <c r="L72" s="161"/>
      <c r="M72" s="1143">
        <v>300000</v>
      </c>
      <c r="N72" s="863"/>
      <c r="O72" s="1143">
        <v>330000</v>
      </c>
      <c r="P72" s="161"/>
      <c r="Q72" s="1143">
        <v>363000</v>
      </c>
      <c r="R72" s="161"/>
      <c r="S72" s="1143">
        <v>399300</v>
      </c>
      <c r="T72" s="161"/>
      <c r="U72" s="1143">
        <v>439230</v>
      </c>
      <c r="V72" s="173"/>
      <c r="W72" s="173"/>
      <c r="X72" s="1738" t="s">
        <v>4111</v>
      </c>
    </row>
    <row r="73" spans="1:24" ht="38.25" x14ac:dyDescent="0.25">
      <c r="A73" s="2012"/>
      <c r="B73" s="1902"/>
      <c r="C73" s="1902"/>
      <c r="D73" s="674"/>
      <c r="E73" s="674"/>
      <c r="F73" s="674"/>
      <c r="G73" s="1899" t="s">
        <v>731</v>
      </c>
      <c r="H73" s="1904" t="s">
        <v>106</v>
      </c>
      <c r="I73" s="1143"/>
      <c r="J73" s="1898">
        <v>50</v>
      </c>
      <c r="K73" s="1900">
        <v>0</v>
      </c>
      <c r="L73" s="161">
        <v>50</v>
      </c>
      <c r="M73" s="1143">
        <v>0</v>
      </c>
      <c r="N73" s="161">
        <v>50</v>
      </c>
      <c r="O73" s="1143">
        <v>0</v>
      </c>
      <c r="P73" s="161">
        <v>50</v>
      </c>
      <c r="Q73" s="1143">
        <v>0</v>
      </c>
      <c r="R73" s="161">
        <v>50</v>
      </c>
      <c r="S73" s="1143">
        <v>0</v>
      </c>
      <c r="T73" s="161">
        <v>50</v>
      </c>
      <c r="U73" s="1143">
        <v>0</v>
      </c>
      <c r="V73" s="173"/>
      <c r="W73" s="173"/>
      <c r="X73" s="1738" t="s">
        <v>4111</v>
      </c>
    </row>
    <row r="74" spans="1:24" ht="51" x14ac:dyDescent="0.25">
      <c r="A74" s="2012"/>
      <c r="B74" s="1902"/>
      <c r="C74" s="1902"/>
      <c r="D74" s="674"/>
      <c r="E74" s="674"/>
      <c r="F74" s="674"/>
      <c r="G74" s="1899" t="s">
        <v>732</v>
      </c>
      <c r="H74" s="1904" t="s">
        <v>75</v>
      </c>
      <c r="I74" s="1143"/>
      <c r="J74" s="1898">
        <v>3</v>
      </c>
      <c r="K74" s="1900">
        <v>0</v>
      </c>
      <c r="L74" s="161">
        <v>3</v>
      </c>
      <c r="M74" s="1143">
        <v>0</v>
      </c>
      <c r="N74" s="161">
        <v>3</v>
      </c>
      <c r="O74" s="1143">
        <v>0</v>
      </c>
      <c r="P74" s="161">
        <v>3</v>
      </c>
      <c r="Q74" s="1143">
        <v>0</v>
      </c>
      <c r="R74" s="161">
        <v>3</v>
      </c>
      <c r="S74" s="1143">
        <v>0</v>
      </c>
      <c r="T74" s="161">
        <v>3</v>
      </c>
      <c r="U74" s="1143">
        <v>0</v>
      </c>
      <c r="V74" s="173"/>
      <c r="W74" s="173"/>
      <c r="X74" s="1738" t="s">
        <v>4111</v>
      </c>
    </row>
    <row r="75" spans="1:24" ht="25.5" x14ac:dyDescent="0.25">
      <c r="A75" s="2012"/>
      <c r="B75" s="1902"/>
      <c r="C75" s="1902"/>
      <c r="D75" s="674"/>
      <c r="E75" s="674"/>
      <c r="F75" s="675"/>
      <c r="G75" s="1899" t="s">
        <v>733</v>
      </c>
      <c r="H75" s="1904" t="s">
        <v>364</v>
      </c>
      <c r="I75" s="1143"/>
      <c r="J75" s="1898">
        <v>2</v>
      </c>
      <c r="K75" s="1900">
        <v>0</v>
      </c>
      <c r="L75" s="161">
        <v>2</v>
      </c>
      <c r="M75" s="1143">
        <v>0</v>
      </c>
      <c r="N75" s="161">
        <v>2</v>
      </c>
      <c r="O75" s="1143">
        <v>0</v>
      </c>
      <c r="P75" s="161">
        <v>2</v>
      </c>
      <c r="Q75" s="1143">
        <v>0</v>
      </c>
      <c r="R75" s="161">
        <v>2</v>
      </c>
      <c r="S75" s="1143">
        <v>0</v>
      </c>
      <c r="T75" s="161">
        <v>2</v>
      </c>
      <c r="U75" s="1143">
        <v>0</v>
      </c>
      <c r="V75" s="173"/>
      <c r="W75" s="173"/>
      <c r="X75" s="1738" t="s">
        <v>4111</v>
      </c>
    </row>
    <row r="76" spans="1:24" s="1909" customFormat="1" ht="127.5" x14ac:dyDescent="0.25">
      <c r="A76" s="2012"/>
      <c r="B76" s="1903"/>
      <c r="C76" s="1903"/>
      <c r="D76" s="675"/>
      <c r="E76" s="675"/>
      <c r="F76" s="173" t="s">
        <v>734</v>
      </c>
      <c r="G76" s="173" t="s">
        <v>735</v>
      </c>
      <c r="H76" s="1904" t="s">
        <v>0</v>
      </c>
      <c r="I76" s="1143">
        <v>0</v>
      </c>
      <c r="J76" s="1898">
        <v>216</v>
      </c>
      <c r="K76" s="859">
        <f>SUM(K77:K80)</f>
        <v>959750</v>
      </c>
      <c r="L76" s="1898">
        <v>216</v>
      </c>
      <c r="M76" s="859">
        <f>SUM(M77:M80)</f>
        <v>1110501</v>
      </c>
      <c r="N76" s="1898">
        <v>216</v>
      </c>
      <c r="O76" s="859">
        <f>SUM(O77:O80)</f>
        <v>1210000</v>
      </c>
      <c r="P76" s="1898">
        <v>216</v>
      </c>
      <c r="Q76" s="859">
        <f>SUM(Q77:Q80)</f>
        <v>1319800</v>
      </c>
      <c r="R76" s="1898">
        <v>216</v>
      </c>
      <c r="S76" s="859">
        <f>SUM(S77:S80)</f>
        <v>1440780</v>
      </c>
      <c r="T76" s="1143">
        <v>216</v>
      </c>
      <c r="U76" s="859">
        <f>SUM(U77:U80)</f>
        <v>1573858</v>
      </c>
      <c r="V76" s="173">
        <v>1080</v>
      </c>
      <c r="W76" s="173"/>
      <c r="X76" s="1738" t="s">
        <v>4111</v>
      </c>
    </row>
    <row r="77" spans="1:24" ht="76.5" x14ac:dyDescent="0.25">
      <c r="A77" s="2012"/>
      <c r="B77" s="1902"/>
      <c r="C77" s="1902"/>
      <c r="D77" s="674"/>
      <c r="E77" s="674"/>
      <c r="F77" s="1903" t="s">
        <v>736</v>
      </c>
      <c r="G77" s="1924" t="s">
        <v>737</v>
      </c>
      <c r="H77" s="1907" t="s">
        <v>738</v>
      </c>
      <c r="I77" s="859"/>
      <c r="J77" s="1729">
        <v>9</v>
      </c>
      <c r="K77" s="1630">
        <v>623000</v>
      </c>
      <c r="L77" s="1777">
        <v>9</v>
      </c>
      <c r="M77" s="859">
        <v>635000</v>
      </c>
      <c r="N77" s="1908">
        <v>9</v>
      </c>
      <c r="O77" s="859">
        <v>698500</v>
      </c>
      <c r="P77" s="1777">
        <v>9</v>
      </c>
      <c r="Q77" s="859">
        <v>768350</v>
      </c>
      <c r="R77" s="1777">
        <v>9</v>
      </c>
      <c r="S77" s="859">
        <v>845185</v>
      </c>
      <c r="T77" s="1777">
        <v>9</v>
      </c>
      <c r="U77" s="859">
        <v>929703.5</v>
      </c>
      <c r="V77" s="675"/>
      <c r="W77" s="675"/>
      <c r="X77" s="1738" t="s">
        <v>4111</v>
      </c>
    </row>
    <row r="78" spans="1:24" ht="89.25" x14ac:dyDescent="0.25">
      <c r="A78" s="2012"/>
      <c r="B78" s="1902"/>
      <c r="C78" s="1902"/>
      <c r="D78" s="674"/>
      <c r="E78" s="674"/>
      <c r="F78" s="1916" t="s">
        <v>739</v>
      </c>
      <c r="G78" s="1923" t="s">
        <v>740</v>
      </c>
      <c r="H78" s="1904" t="s">
        <v>741</v>
      </c>
      <c r="I78" s="1143"/>
      <c r="J78" s="1898">
        <v>216</v>
      </c>
      <c r="K78" s="1900">
        <v>231750</v>
      </c>
      <c r="L78" s="161">
        <v>216</v>
      </c>
      <c r="M78" s="1143">
        <v>245000</v>
      </c>
      <c r="N78" s="863">
        <v>216</v>
      </c>
      <c r="O78" s="1143">
        <v>269500</v>
      </c>
      <c r="P78" s="863">
        <v>216</v>
      </c>
      <c r="Q78" s="1143">
        <v>296450</v>
      </c>
      <c r="R78" s="863">
        <v>216</v>
      </c>
      <c r="S78" s="1143">
        <v>326095</v>
      </c>
      <c r="T78" s="863">
        <v>216</v>
      </c>
      <c r="U78" s="1143">
        <v>358704.5</v>
      </c>
      <c r="V78" s="173"/>
      <c r="W78" s="173"/>
      <c r="X78" s="1738" t="s">
        <v>4111</v>
      </c>
    </row>
    <row r="79" spans="1:24" ht="127.5" x14ac:dyDescent="0.25">
      <c r="A79" s="2012"/>
      <c r="B79" s="1902"/>
      <c r="C79" s="1902"/>
      <c r="D79" s="674"/>
      <c r="E79" s="674"/>
      <c r="F79" s="1927" t="s">
        <v>4115</v>
      </c>
      <c r="G79" s="1899" t="s">
        <v>743</v>
      </c>
      <c r="H79" s="1904" t="s">
        <v>744</v>
      </c>
      <c r="I79" s="1143"/>
      <c r="J79" s="1898"/>
      <c r="K79" s="1900">
        <v>0</v>
      </c>
      <c r="L79" s="161">
        <v>1</v>
      </c>
      <c r="M79" s="1143">
        <v>110000</v>
      </c>
      <c r="N79" s="863">
        <v>1</v>
      </c>
      <c r="O79" s="1143">
        <v>110000</v>
      </c>
      <c r="P79" s="161">
        <v>1</v>
      </c>
      <c r="Q79" s="1143">
        <v>110000</v>
      </c>
      <c r="R79" s="161">
        <v>1</v>
      </c>
      <c r="S79" s="1143">
        <v>110000</v>
      </c>
      <c r="T79" s="161">
        <v>1</v>
      </c>
      <c r="U79" s="1143">
        <v>110000</v>
      </c>
      <c r="V79" s="173"/>
      <c r="W79" s="173"/>
      <c r="X79" s="1738" t="s">
        <v>4111</v>
      </c>
    </row>
    <row r="80" spans="1:24" ht="89.25" x14ac:dyDescent="0.25">
      <c r="A80" s="2012"/>
      <c r="B80" s="1902"/>
      <c r="C80" s="1902"/>
      <c r="D80" s="674"/>
      <c r="E80" s="674"/>
      <c r="F80" s="1899" t="s">
        <v>745</v>
      </c>
      <c r="G80" s="1923" t="s">
        <v>746</v>
      </c>
      <c r="H80" s="1904" t="s">
        <v>747</v>
      </c>
      <c r="I80" s="1143"/>
      <c r="J80" s="1898">
        <v>120</v>
      </c>
      <c r="K80" s="1900">
        <v>105000</v>
      </c>
      <c r="L80" s="161">
        <v>120</v>
      </c>
      <c r="M80" s="1143">
        <v>120501</v>
      </c>
      <c r="N80" s="863">
        <v>120</v>
      </c>
      <c r="O80" s="1143">
        <v>132000</v>
      </c>
      <c r="P80" s="161">
        <v>120</v>
      </c>
      <c r="Q80" s="1143">
        <v>145000</v>
      </c>
      <c r="R80" s="161">
        <v>120</v>
      </c>
      <c r="S80" s="1143">
        <v>159500</v>
      </c>
      <c r="T80" s="161">
        <v>120</v>
      </c>
      <c r="U80" s="1143">
        <v>175450</v>
      </c>
      <c r="V80" s="173"/>
      <c r="W80" s="173"/>
      <c r="X80" s="1738" t="s">
        <v>4111</v>
      </c>
    </row>
    <row r="81" spans="1:24" ht="178.5" x14ac:dyDescent="0.25">
      <c r="A81" s="2012"/>
      <c r="B81" s="1902"/>
      <c r="C81" s="1902"/>
      <c r="D81" s="674"/>
      <c r="E81" s="674"/>
      <c r="F81" s="1915" t="s">
        <v>749</v>
      </c>
      <c r="G81" s="173" t="s">
        <v>748</v>
      </c>
      <c r="H81" s="1904" t="s">
        <v>79</v>
      </c>
      <c r="I81" s="1143">
        <v>5</v>
      </c>
      <c r="J81" s="1898">
        <v>1</v>
      </c>
      <c r="K81" s="1143">
        <f>SUM(K82)</f>
        <v>188500</v>
      </c>
      <c r="L81" s="1898">
        <v>1</v>
      </c>
      <c r="M81" s="1143">
        <f>SUM(M82)</f>
        <v>200500</v>
      </c>
      <c r="N81" s="1898">
        <v>1</v>
      </c>
      <c r="O81" s="1143">
        <f>SUM(O82)</f>
        <v>220550</v>
      </c>
      <c r="P81" s="1898">
        <v>1</v>
      </c>
      <c r="Q81" s="1143">
        <f>SUM(Q82)</f>
        <v>242605</v>
      </c>
      <c r="R81" s="1898">
        <v>1</v>
      </c>
      <c r="S81" s="1143">
        <f>SUM(S82)</f>
        <v>266865.5</v>
      </c>
      <c r="T81" s="1143">
        <v>1</v>
      </c>
      <c r="U81" s="1143">
        <f>SUM(U82)</f>
        <v>293552.05</v>
      </c>
      <c r="V81" s="173">
        <v>5</v>
      </c>
      <c r="W81" s="173"/>
      <c r="X81" s="1738" t="s">
        <v>4111</v>
      </c>
    </row>
    <row r="82" spans="1:24" ht="38.25" x14ac:dyDescent="0.25">
      <c r="A82" s="2015"/>
      <c r="B82" s="1903"/>
      <c r="C82" s="1903"/>
      <c r="D82" s="675"/>
      <c r="E82" s="675"/>
      <c r="F82" s="1925" t="s">
        <v>4110</v>
      </c>
      <c r="G82" s="1923" t="s">
        <v>751</v>
      </c>
      <c r="H82" s="1904" t="s">
        <v>103</v>
      </c>
      <c r="I82" s="1143"/>
      <c r="J82" s="1898">
        <v>12</v>
      </c>
      <c r="K82" s="1900">
        <v>188500</v>
      </c>
      <c r="L82" s="1898">
        <v>12</v>
      </c>
      <c r="M82" s="1143">
        <v>200500</v>
      </c>
      <c r="N82" s="1898">
        <v>12</v>
      </c>
      <c r="O82" s="1143">
        <v>220550</v>
      </c>
      <c r="P82" s="1898">
        <v>12</v>
      </c>
      <c r="Q82" s="1143">
        <v>242605</v>
      </c>
      <c r="R82" s="1898">
        <v>12</v>
      </c>
      <c r="S82" s="1143">
        <v>266865.5</v>
      </c>
      <c r="T82" s="1898">
        <v>12</v>
      </c>
      <c r="U82" s="1143">
        <v>293552.05</v>
      </c>
      <c r="V82" s="173"/>
      <c r="W82" s="173"/>
      <c r="X82" s="1738" t="s">
        <v>4111</v>
      </c>
    </row>
    <row r="83" spans="1:24" x14ac:dyDescent="0.25">
      <c r="A83" s="885" t="s">
        <v>4109</v>
      </c>
      <c r="B83" s="1911"/>
      <c r="C83" s="1912"/>
      <c r="D83" s="1912"/>
      <c r="E83" s="1913"/>
      <c r="F83" s="1899"/>
      <c r="G83" s="1899"/>
      <c r="H83" s="1904"/>
      <c r="I83" s="1143"/>
      <c r="J83" s="1898"/>
      <c r="K83" s="1900" t="e">
        <f>SUM(K7:K82)/2</f>
        <v>#REF!</v>
      </c>
      <c r="L83" s="1898"/>
      <c r="M83" s="1900" t="e">
        <f>SUM(M7:M82)/2</f>
        <v>#REF!</v>
      </c>
      <c r="N83" s="1898"/>
      <c r="O83" s="1900" t="e">
        <f>SUM(O7:O82)/2</f>
        <v>#REF!</v>
      </c>
      <c r="P83" s="1898"/>
      <c r="Q83" s="1900" t="e">
        <f>SUM(Q7:Q82)/2</f>
        <v>#REF!</v>
      </c>
      <c r="R83" s="1898"/>
      <c r="S83" s="1900" t="e">
        <f>SUM(S7:S82)/2</f>
        <v>#REF!</v>
      </c>
      <c r="T83" s="1143"/>
      <c r="U83" s="1900" t="e">
        <f>SUM(U7:U82)/2</f>
        <v>#REF!</v>
      </c>
      <c r="V83" s="173"/>
      <c r="W83" s="173"/>
      <c r="X83" s="1913"/>
    </row>
  </sheetData>
  <mergeCells count="24">
    <mergeCell ref="A1:V1"/>
    <mergeCell ref="R4:S4"/>
    <mergeCell ref="T4:U4"/>
    <mergeCell ref="V4:V5"/>
    <mergeCell ref="A7:A82"/>
    <mergeCell ref="B7:B9"/>
    <mergeCell ref="C7:C8"/>
    <mergeCell ref="D7:D8"/>
    <mergeCell ref="G3:G5"/>
    <mergeCell ref="H3:H5"/>
    <mergeCell ref="I3:I5"/>
    <mergeCell ref="J3:V3"/>
    <mergeCell ref="A3:A5"/>
    <mergeCell ref="B3:B5"/>
    <mergeCell ref="C3:C5"/>
    <mergeCell ref="D3:D5"/>
    <mergeCell ref="E3:E5"/>
    <mergeCell ref="F3:F5"/>
    <mergeCell ref="W3:W5"/>
    <mergeCell ref="X3:X5"/>
    <mergeCell ref="J4:K4"/>
    <mergeCell ref="L4:M4"/>
    <mergeCell ref="N4:O4"/>
    <mergeCell ref="P4:Q4"/>
  </mergeCells>
  <pageMargins left="0.23622047244094491" right="0.19685039370078741" top="0.74803149606299213" bottom="0.74803149606299213" header="0.31496062992125984" footer="0.31496062992125984"/>
  <pageSetup paperSize="301" scale="6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SKPD EKO</vt:lpstr>
      <vt:lpstr>SKPD PIW</vt:lpstr>
      <vt:lpstr>SKPD SOSBUD</vt:lpstr>
      <vt:lpstr>KECAMATAN</vt:lpstr>
      <vt:lpstr>Sheet1</vt:lpstr>
      <vt:lpstr>BPKAD MATRIK 5</vt:lpstr>
      <vt:lpstr>'BPKAD MATRIK 5'!Print_Area</vt:lpstr>
      <vt:lpstr>'SKPD SOSBUD'!Print_Area</vt:lpstr>
      <vt:lpstr>'BPKAD MATRIK 5'!Print_Titles</vt:lpstr>
      <vt:lpstr>'SKPD SOSBUD'!Print_Titles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2017-09-21T10:02:36Z</cp:lastPrinted>
  <dcterms:created xsi:type="dcterms:W3CDTF">2016-05-22T09:20:53Z</dcterms:created>
  <dcterms:modified xsi:type="dcterms:W3CDTF">2019-01-28T03:46:47Z</dcterms:modified>
</cp:coreProperties>
</file>